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/>
  <bookViews>
    <workbookView xWindow="32760" yWindow="32760" windowWidth="15600" windowHeight="11760" tabRatio="690" activeTab="4"/>
  </bookViews>
  <sheets>
    <sheet name="Enero" sheetId="1" r:id="rId1"/>
    <sheet name="Febrero" sheetId="6" r:id="rId2"/>
    <sheet name="Marzo" sheetId="7" r:id="rId3"/>
    <sheet name="Abril" sheetId="8" r:id="rId4"/>
    <sheet name="Mayo" sheetId="9" r:id="rId5"/>
    <sheet name="Junio" sheetId="10" r:id="rId6"/>
    <sheet name="Julio" sheetId="11" r:id="rId7"/>
    <sheet name="Agosto" sheetId="12" r:id="rId8"/>
    <sheet name="Septiembre" sheetId="13" r:id="rId9"/>
    <sheet name="Octubre" sheetId="14" r:id="rId10"/>
    <sheet name="Noviembre" sheetId="15" r:id="rId11"/>
    <sheet name="Diciembre" sheetId="16" r:id="rId12"/>
    <sheet name="Hoja1" sheetId="17" r:id="rId13"/>
  </sheets>
  <definedNames>
    <definedName name="AbrDom1">DATE(Año_Calendario,4,1)-WEEKDAY(DATE(Año_Calendario,4,1))+1</definedName>
    <definedName name="AgoDom1">DATE(Año_Calendario,8,1)-WEEKDAY(DATE(Año_Calendario,8,1))+1</definedName>
    <definedName name="Año_Calendario">Enero!$N$2</definedName>
    <definedName name="_xlnm.Print_Area" localSheetId="3">Abril!$A$1:$M$50</definedName>
    <definedName name="_xlnm.Print_Area" localSheetId="7">Agosto!$A$1:$N$50</definedName>
    <definedName name="_xlnm.Print_Area" localSheetId="11">Diciembre!$A$1:$M$50</definedName>
    <definedName name="_xlnm.Print_Area" localSheetId="0">Enero!$A$1:$M$51</definedName>
    <definedName name="_xlnm.Print_Area" localSheetId="1">Febrero!$A$1:$M$50</definedName>
    <definedName name="_xlnm.Print_Area" localSheetId="6">Julio!$A$1:$M$50</definedName>
    <definedName name="_xlnm.Print_Area" localSheetId="5">Junio!$A$1:$M$50</definedName>
    <definedName name="_xlnm.Print_Area" localSheetId="2">Marzo!$A$1:$M$50</definedName>
    <definedName name="_xlnm.Print_Area" localSheetId="4">Mayo!$A$1:$M$50</definedName>
    <definedName name="_xlnm.Print_Area" localSheetId="10">Noviembre!$A$1:$M$50</definedName>
    <definedName name="_xlnm.Print_Area" localSheetId="9">Octubre!$A$1:$M$50</definedName>
    <definedName name="_xlnm.Print_Area" localSheetId="8">Septiembre!$A$1:$M$50</definedName>
    <definedName name="DíasDeTareas" localSheetId="3">Abril!$L$4:$L$33</definedName>
    <definedName name="DíasDeTareas" localSheetId="7">Agosto!$L$4:$L$33</definedName>
    <definedName name="DíasDeTareas" localSheetId="11">Diciembre!$L$4:$L$33</definedName>
    <definedName name="DíasDeTareas" localSheetId="1">Febrero!$L$4:$L$33</definedName>
    <definedName name="DíasDeTareas" localSheetId="6">Julio!$L$4:$L$33</definedName>
    <definedName name="DíasDeTareas" localSheetId="5">Junio!$L$4:$L$33</definedName>
    <definedName name="DíasDeTareas" localSheetId="2">Marzo!$L$4:$L$33</definedName>
    <definedName name="DíasDeTareas" localSheetId="4">Mayo!$L$4:$L$33</definedName>
    <definedName name="DíasDeTareas" localSheetId="10">Noviembre!$L$4:$L$33</definedName>
    <definedName name="DíasDeTareas" localSheetId="9">Octubre!$L$4:$L$33</definedName>
    <definedName name="DíasDeTareas" localSheetId="8">Septiembre!$L$4:$L$33</definedName>
    <definedName name="DíasDeTareas">Enero!$L$4:$L$33</definedName>
    <definedName name="DicDom1">DATE(Año_Calendario,12,1)-WEEKDAY(DATE(Año_Calendario,12,1))+1</definedName>
    <definedName name="FebDom1">DATE(Año_Calendario,2,1)-WEEKDAY(DATE(Año_Calendario,2,1))+1</definedName>
    <definedName name="JanSun1">DATE(Año_Calendario,1,1)-WEEKDAY(DATE(Año_Calendario,1,1))+1</definedName>
    <definedName name="JulDom1">DATE(Año_Calendario,7,1)-WEEKDAY(DATE(Año_Calendario,7,1))+1</definedName>
    <definedName name="JunDom1">DATE(Año_Calendario,6,1)-WEEKDAY(DATE(Año_Calendario,6,1))+1</definedName>
    <definedName name="MarDom1">DATE(Año_Calendario,3,1)-WEEKDAY(DATE(Año_Calendario,3,1))+1</definedName>
    <definedName name="MayDom1">DATE(Año_Calendario,5,1)-WEEKDAY(DATE(Año_Calendario,5,1))+1</definedName>
    <definedName name="NovDom1">DATE(Año_Calendario,11,1)-WEEKDAY(DATE(Año_Calendario,11,1))+1</definedName>
    <definedName name="OctDom1">DATE(Año_Calendario,10,1)-WEEKDAY(DATE(Año_Calendario,10,1))+1</definedName>
    <definedName name="SepDom1">DATE(Año_Calendario,9,1)-WEEKDAY(DATE(Año_Calendario,9,1))+1</definedName>
    <definedName name="TablaFechasImportantes" localSheetId="3">Abril!$L$4:$M$8</definedName>
    <definedName name="TablaFechasImportantes" localSheetId="7">Agosto!$L$4:$M$8</definedName>
    <definedName name="TablaFechasImportantes" localSheetId="11">Diciembre!$L$4:$M$8</definedName>
    <definedName name="TablaFechasImportantes" localSheetId="1">Febrero!$L$4:$M$8</definedName>
    <definedName name="TablaFechasImportantes" localSheetId="6">Julio!$L$4:$M$8</definedName>
    <definedName name="TablaFechasImportantes" localSheetId="5">Junio!$L$4:$M$8</definedName>
    <definedName name="TablaFechasImportantes" localSheetId="2">Marzo!$L$4:$M$8</definedName>
    <definedName name="TablaFechasImportantes" localSheetId="4">Mayo!$L$4:$M$8</definedName>
    <definedName name="TablaFechasImportantes" localSheetId="10">Noviembre!$L$4:$M$8</definedName>
    <definedName name="TablaFechasImportantes" localSheetId="9">Octubre!$L$4:$M$8</definedName>
    <definedName name="TablaFechasImportantes" localSheetId="8">Septiembre!$L$4:$M$8</definedName>
    <definedName name="TablaFechasImportantes">Enero!$L$4:$M$8</definedName>
  </definedNames>
  <calcPr calcId="125725"/>
</workbook>
</file>

<file path=xl/calcChain.xml><?xml version="1.0" encoding="utf-8"?>
<calcChain xmlns="http://schemas.openxmlformats.org/spreadsheetml/2006/main">
  <c r="C5" i="9"/>
  <c r="D5" i="10"/>
  <c r="I9" i="8"/>
  <c r="H9"/>
  <c r="G9"/>
  <c r="F9"/>
  <c r="E9"/>
  <c r="D9"/>
  <c r="C9"/>
  <c r="I8"/>
  <c r="H8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H4"/>
  <c r="G4"/>
  <c r="F4"/>
  <c r="E4"/>
  <c r="D4"/>
  <c r="C4"/>
  <c r="I9" i="16"/>
  <c r="H9"/>
  <c r="G9"/>
  <c r="F9"/>
  <c r="E9"/>
  <c r="D9"/>
  <c r="C9"/>
  <c r="I8"/>
  <c r="H8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H4"/>
  <c r="G4"/>
  <c r="F4"/>
  <c r="E4"/>
  <c r="D4"/>
  <c r="C4"/>
  <c r="I9" i="15"/>
  <c r="H9"/>
  <c r="G9"/>
  <c r="F9"/>
  <c r="E9"/>
  <c r="D9"/>
  <c r="C9"/>
  <c r="I8"/>
  <c r="H8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H4"/>
  <c r="G4"/>
  <c r="F4"/>
  <c r="E4"/>
  <c r="D4"/>
  <c r="C4"/>
  <c r="I9" i="14"/>
  <c r="H9"/>
  <c r="G9"/>
  <c r="F9"/>
  <c r="E9"/>
  <c r="D9"/>
  <c r="C9"/>
  <c r="I8"/>
  <c r="H8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H4"/>
  <c r="G4"/>
  <c r="F4"/>
  <c r="E4"/>
  <c r="D4"/>
  <c r="C4"/>
  <c r="I9" i="13"/>
  <c r="H9"/>
  <c r="G9"/>
  <c r="F9"/>
  <c r="E9"/>
  <c r="D9"/>
  <c r="C9"/>
  <c r="I8"/>
  <c r="H8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H4"/>
  <c r="G4"/>
  <c r="F4"/>
  <c r="E4"/>
  <c r="D4"/>
  <c r="C4"/>
  <c r="I9" i="12"/>
  <c r="H9"/>
  <c r="G9"/>
  <c r="F9"/>
  <c r="E9"/>
  <c r="D9"/>
  <c r="C9"/>
  <c r="I8"/>
  <c r="H8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H4"/>
  <c r="G4"/>
  <c r="F4"/>
  <c r="E4"/>
  <c r="D4"/>
  <c r="C4"/>
  <c r="I9" i="11"/>
  <c r="H9"/>
  <c r="G9"/>
  <c r="F9"/>
  <c r="E9"/>
  <c r="D9"/>
  <c r="C9"/>
  <c r="I8"/>
  <c r="H8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H4"/>
  <c r="G4"/>
  <c r="F4"/>
  <c r="E4"/>
  <c r="D4"/>
  <c r="C4"/>
  <c r="I9" i="10"/>
  <c r="H9"/>
  <c r="G9"/>
  <c r="F9"/>
  <c r="E9"/>
  <c r="D9"/>
  <c r="C9"/>
  <c r="I8"/>
  <c r="H8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C5"/>
  <c r="I4"/>
  <c r="H4"/>
  <c r="G4"/>
  <c r="F4"/>
  <c r="E4"/>
  <c r="D4"/>
  <c r="C4"/>
  <c r="I9" i="9"/>
  <c r="H9"/>
  <c r="G9"/>
  <c r="F9"/>
  <c r="E9"/>
  <c r="D9"/>
  <c r="C9"/>
  <c r="I8"/>
  <c r="H8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I4"/>
  <c r="H4"/>
  <c r="G4"/>
  <c r="F4"/>
  <c r="E4"/>
  <c r="D4"/>
  <c r="C4"/>
  <c r="I9" i="7"/>
  <c r="H9"/>
  <c r="G9"/>
  <c r="F9"/>
  <c r="E9"/>
  <c r="D9"/>
  <c r="C9"/>
  <c r="I8"/>
  <c r="H8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H4"/>
  <c r="G4"/>
  <c r="F4"/>
  <c r="E4"/>
  <c r="D4"/>
  <c r="C4"/>
  <c r="I9" i="6"/>
  <c r="H9"/>
  <c r="G9"/>
  <c r="F9"/>
  <c r="E9"/>
  <c r="D9"/>
  <c r="C9"/>
  <c r="I8"/>
  <c r="H8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H4"/>
  <c r="G4"/>
  <c r="F4"/>
  <c r="E4"/>
  <c r="D4"/>
  <c r="C4"/>
  <c r="H4" i="1"/>
  <c r="I9"/>
  <c r="H9"/>
  <c r="G9"/>
  <c r="F9"/>
  <c r="E9"/>
  <c r="D9"/>
  <c r="C9"/>
  <c r="I8"/>
  <c r="H8"/>
  <c r="G8"/>
  <c r="F8"/>
  <c r="E8"/>
  <c r="D8"/>
  <c r="C8"/>
  <c r="I7"/>
  <c r="H7"/>
  <c r="G7"/>
  <c r="F7"/>
  <c r="E7"/>
  <c r="D7"/>
  <c r="C7"/>
  <c r="I6"/>
  <c r="H6"/>
  <c r="G6"/>
  <c r="F6"/>
  <c r="E6"/>
  <c r="D6"/>
  <c r="C6"/>
  <c r="I5"/>
  <c r="H5"/>
  <c r="G5"/>
  <c r="F5"/>
  <c r="E5"/>
  <c r="D5"/>
  <c r="C5"/>
  <c r="I4"/>
  <c r="G4"/>
  <c r="F4"/>
  <c r="E4"/>
  <c r="D4"/>
  <c r="C4"/>
</calcChain>
</file>

<file path=xl/sharedStrings.xml><?xml version="1.0" encoding="utf-8"?>
<sst xmlns="http://schemas.openxmlformats.org/spreadsheetml/2006/main" count="353" uniqueCount="47">
  <si>
    <t>S</t>
  </si>
  <si>
    <t>M</t>
  </si>
  <si>
    <t>TAREAS</t>
  </si>
  <si>
    <t>ENERO</t>
  </si>
  <si>
    <t>L</t>
  </si>
  <si>
    <t>X</t>
  </si>
  <si>
    <t>J</t>
  </si>
  <si>
    <t>V</t>
  </si>
  <si>
    <t>D</t>
  </si>
  <si>
    <t>DICIEMBRE</t>
  </si>
  <si>
    <t>HORARIO SEMANAL</t>
  </si>
  <si>
    <t>LUN</t>
  </si>
  <si>
    <t>MAR</t>
  </si>
  <si>
    <t>MIÉ</t>
  </si>
  <si>
    <t>JUE</t>
  </si>
  <si>
    <t>VIE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</si>
  <si>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</si>
  <si>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</si>
  <si>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</si>
  <si>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</si>
  <si>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</si>
  <si>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</si>
  <si>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</si>
  <si>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</si>
  <si>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</si>
  <si>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</si>
  <si>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Nota:  las actividades frecuentes de la unidad de Catastro son: recepcion de operaciones registrales y de transmisión de dominio, copias de planos y/o manzanero, dictamenes de valor, historias catastrales,  certificacion de documentos, consultas al padron catastral y contestar oficios que se presentan en catastro.</t>
  </si>
  <si>
    <t>10+L35+E39:N59</t>
  </si>
  <si>
    <t>LUNES</t>
  </si>
  <si>
    <t>31+L140+D147N148</t>
  </si>
  <si>
    <t>30+K137:N156</t>
  </si>
  <si>
    <t>Se atendio a todo ciudadano que ingreso a laoficina por culaquier tema, se realizaron</t>
  </si>
  <si>
    <t>catastro</t>
  </si>
  <si>
    <t xml:space="preserve">cobros de predial y servicios. Se realizo tramite y registro, y algunos servicios de </t>
  </si>
  <si>
    <t xml:space="preserve">Se atendio a todo ciudadano que ingreso a la oficina por cualquier tema, se realizaron </t>
  </si>
  <si>
    <t>catastro.</t>
  </si>
  <si>
    <t>Lun</t>
  </si>
  <si>
    <t xml:space="preserve">cobros de predial y servicios. Se realizo tramite y registro, y algunos servicios  de </t>
  </si>
  <si>
    <t>mart</t>
  </si>
  <si>
    <t>Se cobro predial en la delegacion de Quila.</t>
  </si>
  <si>
    <t>de Tamazulita a realizar el cobro del Impuesto Predial.</t>
  </si>
  <si>
    <t>El dia 2 y 9 de febrero personal de la oficina de catastro acudio a la delegacion</t>
  </si>
  <si>
    <t>El dia 3 de febrero personal de la oficina de catastro acudio a la delegacion</t>
  </si>
  <si>
    <t>de Ayotitlan a realizar el cobro del Impuesto Predial.</t>
  </si>
  <si>
    <t>El dia 11 de febrero personal de la oficina de catastro acudio a la delegacion</t>
  </si>
  <si>
    <t>El dia 5 de febrero personal de la oficina de catastro acudio a la delegacion</t>
  </si>
  <si>
    <t>de Quila a realizar el cobro del Impuesto Predial.</t>
  </si>
</sst>
</file>

<file path=xl/styles.xml><?xml version="1.0" encoding="utf-8"?>
<styleSheet xmlns="http://schemas.openxmlformats.org/spreadsheetml/2006/main">
  <numFmts count="1">
    <numFmt numFmtId="164" formatCode="d"/>
  </numFmts>
  <fonts count="29">
    <font>
      <sz val="10"/>
      <color theme="1"/>
      <name val="Arial"/>
      <family val="2"/>
      <scheme val="minor"/>
    </font>
    <font>
      <sz val="8"/>
      <name val="Arial"/>
      <family val="2"/>
    </font>
    <font>
      <sz val="10"/>
      <color indexed="63"/>
      <name val="Arial"/>
      <family val="4"/>
      <scheme val="minor"/>
    </font>
    <font>
      <b/>
      <sz val="11"/>
      <color theme="0"/>
      <name val="Arial"/>
      <family val="2"/>
      <scheme val="minor"/>
    </font>
    <font>
      <b/>
      <sz val="28"/>
      <color theme="1" tint="0.34998626667073579"/>
      <name val="Arial"/>
      <family val="2"/>
      <scheme val="minor"/>
    </font>
    <font>
      <sz val="11"/>
      <name val="Arial"/>
      <family val="2"/>
      <scheme val="minor"/>
    </font>
    <font>
      <sz val="10"/>
      <color theme="1"/>
      <name val="Arial"/>
      <family val="2"/>
      <scheme val="major"/>
    </font>
    <font>
      <sz val="10"/>
      <color theme="0"/>
      <name val="Arial"/>
      <family val="2"/>
      <scheme val="minor"/>
    </font>
    <font>
      <sz val="8.5"/>
      <color theme="1"/>
      <name val="Arial"/>
      <family val="2"/>
      <scheme val="minor"/>
    </font>
    <font>
      <b/>
      <sz val="8.5"/>
      <color theme="1"/>
      <name val="Arial"/>
      <family val="2"/>
      <scheme val="minor"/>
    </font>
    <font>
      <sz val="10.5"/>
      <color theme="1" tint="0.249977111117893"/>
      <name val="Arial"/>
      <family val="2"/>
      <scheme val="minor"/>
    </font>
    <font>
      <b/>
      <sz val="12"/>
      <color theme="4"/>
      <name val="Arial"/>
      <family val="2"/>
      <scheme val="major"/>
    </font>
    <font>
      <b/>
      <sz val="10"/>
      <color theme="1"/>
      <name val="Arial"/>
      <family val="2"/>
      <scheme val="minor"/>
    </font>
    <font>
      <sz val="12"/>
      <color theme="4"/>
      <name val="Arial"/>
      <family val="2"/>
      <scheme val="major"/>
    </font>
    <font>
      <sz val="12"/>
      <color rgb="FF002060"/>
      <name val="Arial"/>
      <family val="2"/>
      <scheme val="minor"/>
    </font>
    <font>
      <b/>
      <sz val="10.5"/>
      <name val="Arial"/>
      <family val="2"/>
      <scheme val="minor"/>
    </font>
    <font>
      <sz val="10"/>
      <color theme="1" tint="0.249977111117893"/>
      <name val="Arial"/>
      <family val="2"/>
      <scheme val="minor"/>
    </font>
    <font>
      <b/>
      <sz val="10.5"/>
      <color theme="1" tint="0.249977111117893"/>
      <name val="Arial"/>
      <family val="2"/>
      <scheme val="minor"/>
    </font>
    <font>
      <b/>
      <sz val="8"/>
      <color theme="1"/>
      <name val="Arial"/>
      <family val="2"/>
      <scheme val="minor"/>
    </font>
    <font>
      <sz val="6"/>
      <color theme="1"/>
      <name val="Arial"/>
      <family val="2"/>
      <scheme val="minor"/>
    </font>
    <font>
      <sz val="8"/>
      <color theme="1" tint="0.249977111117893"/>
      <name val="Arial"/>
      <family val="2"/>
      <scheme val="minor"/>
    </font>
    <font>
      <b/>
      <sz val="8.5"/>
      <color rgb="FFFF0000"/>
      <name val="Arial"/>
      <family val="2"/>
      <scheme val="minor"/>
    </font>
    <font>
      <b/>
      <sz val="24"/>
      <color theme="4"/>
      <name val="Arial"/>
      <family val="2"/>
      <scheme val="major"/>
    </font>
    <font>
      <b/>
      <sz val="12"/>
      <color theme="4"/>
      <name val="Arial"/>
      <family val="2"/>
      <scheme val="minor"/>
    </font>
    <font>
      <b/>
      <sz val="8.5"/>
      <color theme="1"/>
      <name val="Arial"/>
      <family val="2"/>
      <scheme val="major"/>
    </font>
    <font>
      <b/>
      <sz val="17"/>
      <color theme="4"/>
      <name val="Arial"/>
      <family val="4"/>
      <scheme val="minor"/>
    </font>
    <font>
      <b/>
      <sz val="17"/>
      <color theme="4"/>
      <name val="Arial"/>
      <family val="2"/>
      <scheme val="major"/>
    </font>
    <font>
      <sz val="12"/>
      <color theme="1" tint="0.249977111117893"/>
      <name val="Arial"/>
      <family val="2"/>
      <scheme val="minor"/>
    </font>
    <font>
      <sz val="6"/>
      <color theme="1" tint="0.249977111117893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/>
      <right style="thin">
        <color theme="4" tint="0.79992065187536243"/>
      </right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/>
      <bottom style="thin">
        <color theme="4" tint="0.79995117038483843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/>
      <right style="thin">
        <color theme="4" tint="0.79985961485641044"/>
      </right>
      <top style="thin">
        <color theme="4" tint="0.79985961485641044"/>
      </top>
      <bottom/>
      <diagonal/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/>
      <bottom style="thin">
        <color theme="5"/>
      </bottom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 style="thin">
        <color theme="4" tint="0.79998168889431442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8168889431442"/>
      </left>
      <right/>
      <top/>
      <bottom/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 style="thin">
        <color theme="4" tint="0.79992065187536243"/>
      </left>
      <right/>
      <top/>
      <bottom/>
      <diagonal/>
    </border>
    <border>
      <left/>
      <right style="thin">
        <color theme="4" tint="0.79989013336588644"/>
      </right>
      <top style="thin">
        <color theme="4" tint="0.79989013336588644"/>
      </top>
      <bottom/>
      <diagonal/>
    </border>
    <border>
      <left/>
      <right style="thin">
        <color theme="4" tint="0.79989013336588644"/>
      </right>
      <top/>
      <bottom style="thin">
        <color theme="4" tint="0.79989013336588644"/>
      </bottom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  <border>
      <left/>
      <right/>
      <top style="thin">
        <color theme="5"/>
      </top>
      <bottom/>
      <diagonal/>
    </border>
    <border>
      <left/>
      <right style="thin">
        <color theme="4" tint="0.79995117038483843"/>
      </right>
      <top style="thin">
        <color theme="5"/>
      </top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4" fillId="0" borderId="0" applyNumberFormat="0" applyFill="0" applyAlignment="0" applyProtection="0"/>
    <xf numFmtId="0" fontId="5" fillId="0" borderId="0"/>
  </cellStyleXfs>
  <cellXfs count="130">
    <xf numFmtId="0" fontId="0" fillId="0" borderId="0" xfId="0"/>
    <xf numFmtId="0" fontId="0" fillId="0" borderId="0" xfId="0" applyFont="1"/>
    <xf numFmtId="0" fontId="6" fillId="0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indent="1"/>
    </xf>
    <xf numFmtId="0" fontId="0" fillId="0" borderId="3" xfId="0" applyFont="1" applyBorder="1"/>
    <xf numFmtId="0" fontId="0" fillId="0" borderId="4" xfId="0" applyFont="1" applyBorder="1"/>
    <xf numFmtId="0" fontId="8" fillId="5" borderId="5" xfId="0" applyFont="1" applyFill="1" applyBorder="1" applyAlignment="1">
      <alignment horizontal="left" vertical="top" indent="1"/>
    </xf>
    <xf numFmtId="0" fontId="8" fillId="5" borderId="6" xfId="0" applyFont="1" applyFill="1" applyBorder="1" applyAlignment="1">
      <alignment horizontal="left" vertical="top" indent="1"/>
    </xf>
    <xf numFmtId="49" fontId="9" fillId="5" borderId="2" xfId="0" applyNumberFormat="1" applyFont="1" applyFill="1" applyBorder="1" applyAlignment="1">
      <alignment horizontal="left" indent="1"/>
    </xf>
    <xf numFmtId="49" fontId="9" fillId="5" borderId="7" xfId="0" applyNumberFormat="1" applyFont="1" applyFill="1" applyBorder="1" applyAlignment="1">
      <alignment horizontal="left" indent="1"/>
    </xf>
    <xf numFmtId="164" fontId="10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textRotation="90"/>
    </xf>
    <xf numFmtId="0" fontId="12" fillId="0" borderId="0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 textRotation="90"/>
    </xf>
    <xf numFmtId="164" fontId="14" fillId="0" borderId="9" xfId="0" applyNumberFormat="1" applyFont="1" applyFill="1" applyBorder="1" applyAlignment="1">
      <alignment horizontal="right" vertic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164" fontId="12" fillId="0" borderId="9" xfId="0" applyNumberFormat="1" applyFont="1" applyFill="1" applyBorder="1" applyAlignment="1">
      <alignment horizontal="center"/>
    </xf>
    <xf numFmtId="0" fontId="0" fillId="0" borderId="13" xfId="0" applyFont="1" applyBorder="1"/>
    <xf numFmtId="0" fontId="0" fillId="0" borderId="14" xfId="0" applyFont="1" applyBorder="1"/>
    <xf numFmtId="164" fontId="15" fillId="0" borderId="9" xfId="0" applyNumberFormat="1" applyFont="1" applyFill="1" applyBorder="1" applyAlignment="1">
      <alignment horizontal="left" vertical="center" wrapText="1" indent="1"/>
    </xf>
    <xf numFmtId="0" fontId="0" fillId="0" borderId="15" xfId="0" applyFont="1" applyBorder="1"/>
    <xf numFmtId="0" fontId="0" fillId="0" borderId="16" xfId="0" applyFont="1" applyBorder="1"/>
    <xf numFmtId="0" fontId="0" fillId="0" borderId="17" xfId="0" applyFont="1" applyBorder="1"/>
    <xf numFmtId="0" fontId="16" fillId="0" borderId="11" xfId="0" applyFont="1" applyBorder="1" applyAlignment="1">
      <alignment wrapText="1"/>
    </xf>
    <xf numFmtId="0" fontId="16" fillId="0" borderId="18" xfId="0" applyFont="1" applyBorder="1" applyAlignment="1">
      <alignment wrapText="1"/>
    </xf>
    <xf numFmtId="164" fontId="10" fillId="6" borderId="0" xfId="0" applyNumberFormat="1" applyFont="1" applyFill="1" applyBorder="1" applyAlignment="1">
      <alignment horizontal="center" vertical="center" wrapText="1"/>
    </xf>
    <xf numFmtId="164" fontId="10" fillId="7" borderId="0" xfId="0" applyNumberFormat="1" applyFont="1" applyFill="1" applyBorder="1" applyAlignment="1">
      <alignment horizontal="center" vertical="center" wrapText="1"/>
    </xf>
    <xf numFmtId="164" fontId="17" fillId="7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left" vertical="top" indent="1"/>
    </xf>
    <xf numFmtId="164" fontId="8" fillId="5" borderId="0" xfId="0" applyNumberFormat="1" applyFont="1" applyFill="1" applyBorder="1" applyAlignment="1">
      <alignment horizontal="left" vertical="top" indent="1"/>
    </xf>
    <xf numFmtId="0" fontId="12" fillId="0" borderId="0" xfId="0" applyFont="1"/>
    <xf numFmtId="0" fontId="0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18" fillId="0" borderId="10" xfId="0" applyFont="1" applyBorder="1" applyAlignment="1">
      <alignment horizontal="center"/>
    </xf>
    <xf numFmtId="0" fontId="19" fillId="0" borderId="0" xfId="0" applyFont="1"/>
    <xf numFmtId="0" fontId="16" fillId="0" borderId="19" xfId="0" applyFont="1" applyBorder="1" applyAlignment="1"/>
    <xf numFmtId="0" fontId="0" fillId="0" borderId="20" xfId="0" applyFont="1" applyBorder="1" applyAlignment="1">
      <alignment horizontal="center"/>
    </xf>
    <xf numFmtId="164" fontId="10" fillId="8" borderId="0" xfId="0" applyNumberFormat="1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left"/>
    </xf>
    <xf numFmtId="0" fontId="16" fillId="0" borderId="18" xfId="0" applyFont="1" applyBorder="1" applyAlignment="1">
      <alignment horizontal="left"/>
    </xf>
    <xf numFmtId="164" fontId="27" fillId="0" borderId="12" xfId="0" applyNumberFormat="1" applyFont="1" applyFill="1" applyBorder="1" applyAlignment="1">
      <alignment horizontal="left"/>
    </xf>
    <xf numFmtId="164" fontId="27" fillId="0" borderId="33" xfId="0" applyNumberFormat="1" applyFont="1" applyFill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0" fontId="11" fillId="0" borderId="38" xfId="0" applyFont="1" applyBorder="1" applyAlignment="1">
      <alignment vertical="center" textRotation="90"/>
    </xf>
    <xf numFmtId="0" fontId="11" fillId="0" borderId="39" xfId="0" applyFont="1" applyBorder="1" applyAlignment="1">
      <alignment vertical="center" textRotation="90"/>
    </xf>
    <xf numFmtId="0" fontId="16" fillId="0" borderId="20" xfId="0" applyFont="1" applyBorder="1" applyAlignment="1">
      <alignment horizontal="left"/>
    </xf>
    <xf numFmtId="0" fontId="16" fillId="0" borderId="23" xfId="0" applyFont="1" applyBorder="1" applyAlignment="1">
      <alignment horizontal="left"/>
    </xf>
    <xf numFmtId="0" fontId="11" fillId="0" borderId="38" xfId="0" applyFont="1" applyBorder="1" applyAlignment="1">
      <alignment horizontal="right" vertical="center" textRotation="90"/>
    </xf>
    <xf numFmtId="0" fontId="11" fillId="0" borderId="39" xfId="0" applyFont="1" applyBorder="1" applyAlignment="1">
      <alignment horizontal="right" vertical="center" textRotation="90"/>
    </xf>
    <xf numFmtId="0" fontId="11" fillId="0" borderId="42" xfId="0" applyFont="1" applyBorder="1" applyAlignment="1">
      <alignment horizontal="right" vertical="center" textRotation="90"/>
    </xf>
    <xf numFmtId="0" fontId="16" fillId="0" borderId="24" xfId="0" applyFont="1" applyBorder="1" applyAlignment="1">
      <alignment horizontal="left"/>
    </xf>
    <xf numFmtId="0" fontId="16" fillId="0" borderId="25" xfId="0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0" fontId="20" fillId="0" borderId="18" xfId="0" applyFont="1" applyBorder="1" applyAlignment="1">
      <alignment horizontal="left"/>
    </xf>
    <xf numFmtId="49" fontId="9" fillId="5" borderId="21" xfId="0" applyNumberFormat="1" applyFont="1" applyFill="1" applyBorder="1" applyAlignment="1">
      <alignment horizontal="left" indent="1"/>
    </xf>
    <xf numFmtId="49" fontId="9" fillId="5" borderId="22" xfId="0" applyNumberFormat="1" applyFont="1" applyFill="1" applyBorder="1" applyAlignment="1">
      <alignment horizontal="left" indent="1"/>
    </xf>
    <xf numFmtId="0" fontId="8" fillId="5" borderId="26" xfId="0" applyFont="1" applyFill="1" applyBorder="1" applyAlignment="1">
      <alignment horizontal="left" vertical="top" indent="1"/>
    </xf>
    <xf numFmtId="0" fontId="8" fillId="5" borderId="27" xfId="0" applyFont="1" applyFill="1" applyBorder="1" applyAlignment="1">
      <alignment horizontal="left" vertical="top" indent="1"/>
    </xf>
    <xf numFmtId="0" fontId="20" fillId="0" borderId="24" xfId="0" applyFont="1" applyBorder="1" applyAlignment="1">
      <alignment horizontal="left"/>
    </xf>
    <xf numFmtId="0" fontId="20" fillId="0" borderId="25" xfId="0" applyFont="1" applyBorder="1" applyAlignment="1">
      <alignment horizontal="left"/>
    </xf>
    <xf numFmtId="0" fontId="20" fillId="0" borderId="20" xfId="0" applyFont="1" applyBorder="1" applyAlignment="1">
      <alignment horizontal="left"/>
    </xf>
    <xf numFmtId="0" fontId="20" fillId="0" borderId="23" xfId="0" applyFont="1" applyBorder="1" applyAlignment="1">
      <alignment horizontal="left"/>
    </xf>
    <xf numFmtId="0" fontId="26" fillId="0" borderId="42" xfId="0" applyFont="1" applyBorder="1" applyAlignment="1">
      <alignment horizontal="left" vertical="center" indent="2"/>
    </xf>
    <xf numFmtId="0" fontId="26" fillId="0" borderId="43" xfId="0" applyFont="1" applyBorder="1" applyAlignment="1">
      <alignment horizontal="left" vertical="center" indent="2"/>
    </xf>
    <xf numFmtId="0" fontId="26" fillId="0" borderId="44" xfId="0" applyFont="1" applyBorder="1" applyAlignment="1">
      <alignment horizontal="left" vertical="center" indent="2"/>
    </xf>
    <xf numFmtId="0" fontId="26" fillId="0" borderId="45" xfId="0" applyFont="1" applyBorder="1" applyAlignment="1">
      <alignment horizontal="left" vertical="center" indent="2"/>
    </xf>
    <xf numFmtId="0" fontId="25" fillId="0" borderId="40" xfId="0" applyFont="1" applyFill="1" applyBorder="1" applyAlignment="1">
      <alignment vertical="center"/>
    </xf>
    <xf numFmtId="0" fontId="25" fillId="0" borderId="41" xfId="0" applyFont="1" applyFill="1" applyBorder="1" applyAlignment="1">
      <alignment vertical="center"/>
    </xf>
    <xf numFmtId="49" fontId="9" fillId="5" borderId="4" xfId="0" applyNumberFormat="1" applyFont="1" applyFill="1" applyBorder="1" applyAlignment="1">
      <alignment horizontal="left" indent="1"/>
    </xf>
    <xf numFmtId="0" fontId="7" fillId="4" borderId="21" xfId="0" applyFont="1" applyFill="1" applyBorder="1" applyAlignment="1">
      <alignment horizontal="left" indent="1"/>
    </xf>
    <xf numFmtId="0" fontId="7" fillId="4" borderId="4" xfId="0" applyFont="1" applyFill="1" applyBorder="1" applyAlignment="1">
      <alignment horizontal="left" indent="1"/>
    </xf>
    <xf numFmtId="0" fontId="7" fillId="4" borderId="22" xfId="0" applyFont="1" applyFill="1" applyBorder="1" applyAlignment="1">
      <alignment horizontal="left" indent="1"/>
    </xf>
    <xf numFmtId="164" fontId="8" fillId="5" borderId="26" xfId="0" applyNumberFormat="1" applyFont="1" applyFill="1" applyBorder="1" applyAlignment="1">
      <alignment horizontal="left" vertical="top" indent="1"/>
    </xf>
    <xf numFmtId="164" fontId="8" fillId="5" borderId="28" xfId="0" applyNumberFormat="1" applyFont="1" applyFill="1" applyBorder="1" applyAlignment="1">
      <alignment horizontal="left" vertical="top" indent="1"/>
    </xf>
    <xf numFmtId="49" fontId="9" fillId="5" borderId="34" xfId="0" applyNumberFormat="1" applyFont="1" applyFill="1" applyBorder="1" applyAlignment="1">
      <alignment horizontal="left" indent="1"/>
    </xf>
    <xf numFmtId="49" fontId="9" fillId="5" borderId="35" xfId="0" applyNumberFormat="1" applyFont="1" applyFill="1" applyBorder="1" applyAlignment="1">
      <alignment horizontal="left" indent="1"/>
    </xf>
    <xf numFmtId="49" fontId="9" fillId="5" borderId="31" xfId="0" applyNumberFormat="1" applyFont="1" applyFill="1" applyBorder="1" applyAlignment="1">
      <alignment horizontal="left" indent="1"/>
    </xf>
    <xf numFmtId="0" fontId="8" fillId="5" borderId="28" xfId="0" applyFont="1" applyFill="1" applyBorder="1" applyAlignment="1">
      <alignment horizontal="left" vertical="top" indent="1"/>
    </xf>
    <xf numFmtId="0" fontId="22" fillId="0" borderId="36" xfId="0" applyFont="1" applyFill="1" applyBorder="1" applyAlignment="1">
      <alignment horizontal="center" vertical="center" textRotation="90"/>
    </xf>
    <xf numFmtId="0" fontId="22" fillId="0" borderId="32" xfId="0" applyFont="1" applyFill="1" applyBorder="1" applyAlignment="1">
      <alignment horizontal="center" vertical="center" textRotation="90"/>
    </xf>
    <xf numFmtId="0" fontId="22" fillId="0" borderId="37" xfId="0" applyFont="1" applyFill="1" applyBorder="1" applyAlignment="1">
      <alignment horizontal="center" vertical="center" textRotation="90"/>
    </xf>
    <xf numFmtId="0" fontId="23" fillId="0" borderId="32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4" fillId="5" borderId="26" xfId="0" applyFont="1" applyFill="1" applyBorder="1" applyAlignment="1">
      <alignment horizontal="left" vertical="top" indent="1"/>
    </xf>
    <xf numFmtId="0" fontId="24" fillId="5" borderId="28" xfId="0" applyFont="1" applyFill="1" applyBorder="1" applyAlignment="1">
      <alignment horizontal="left" vertical="top" indent="1"/>
    </xf>
    <xf numFmtId="49" fontId="9" fillId="5" borderId="21" xfId="0" applyNumberFormat="1" applyFont="1" applyFill="1" applyBorder="1" applyAlignment="1">
      <alignment horizontal="left" vertical="center" indent="1"/>
    </xf>
    <xf numFmtId="49" fontId="9" fillId="5" borderId="4" xfId="0" applyNumberFormat="1" applyFont="1" applyFill="1" applyBorder="1" applyAlignment="1">
      <alignment horizontal="left" vertical="center" indent="1"/>
    </xf>
    <xf numFmtId="0" fontId="9" fillId="5" borderId="29" xfId="0" applyNumberFormat="1" applyFont="1" applyFill="1" applyBorder="1" applyAlignment="1">
      <alignment horizontal="left" vertical="top" wrapText="1"/>
    </xf>
    <xf numFmtId="0" fontId="21" fillId="5" borderId="30" xfId="0" applyNumberFormat="1" applyFont="1" applyFill="1" applyBorder="1" applyAlignment="1">
      <alignment horizontal="left" vertical="top" wrapText="1"/>
    </xf>
    <xf numFmtId="0" fontId="21" fillId="5" borderId="31" xfId="0" applyNumberFormat="1" applyFont="1" applyFill="1" applyBorder="1" applyAlignment="1">
      <alignment horizontal="left" vertical="top" wrapText="1"/>
    </xf>
    <xf numFmtId="0" fontId="21" fillId="5" borderId="32" xfId="0" applyNumberFormat="1" applyFont="1" applyFill="1" applyBorder="1" applyAlignment="1">
      <alignment horizontal="left" vertical="top" wrapText="1"/>
    </xf>
    <xf numFmtId="0" fontId="21" fillId="5" borderId="0" xfId="0" applyNumberFormat="1" applyFont="1" applyFill="1" applyBorder="1" applyAlignment="1">
      <alignment horizontal="left" vertical="top" wrapText="1"/>
    </xf>
    <xf numFmtId="0" fontId="21" fillId="5" borderId="4" xfId="0" applyNumberFormat="1" applyFont="1" applyFill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6" fillId="0" borderId="18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wrapText="1"/>
    </xf>
    <xf numFmtId="0" fontId="16" fillId="0" borderId="18" xfId="0" applyFont="1" applyBorder="1" applyAlignment="1">
      <alignment horizontal="left" wrapText="1"/>
    </xf>
    <xf numFmtId="0" fontId="16" fillId="0" borderId="10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23" fillId="0" borderId="36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0" fillId="0" borderId="20" xfId="0" applyFont="1" applyBorder="1" applyAlignment="1">
      <alignment horizontal="center"/>
    </xf>
    <xf numFmtId="0" fontId="8" fillId="5" borderId="46" xfId="0" applyFont="1" applyFill="1" applyBorder="1" applyAlignment="1">
      <alignment horizontal="left" vertical="top" indent="1"/>
    </xf>
    <xf numFmtId="0" fontId="8" fillId="5" borderId="47" xfId="0" applyFont="1" applyFill="1" applyBorder="1" applyAlignment="1">
      <alignment horizontal="left" vertical="top" indent="1"/>
    </xf>
    <xf numFmtId="164" fontId="8" fillId="5" borderId="46" xfId="0" applyNumberFormat="1" applyFont="1" applyFill="1" applyBorder="1" applyAlignment="1">
      <alignment horizontal="left" vertical="top" indent="1"/>
    </xf>
    <xf numFmtId="164" fontId="8" fillId="5" borderId="15" xfId="0" applyNumberFormat="1" applyFont="1" applyFill="1" applyBorder="1" applyAlignment="1">
      <alignment horizontal="left" vertical="top" indent="1"/>
    </xf>
    <xf numFmtId="49" fontId="21" fillId="5" borderId="29" xfId="0" applyNumberFormat="1" applyFont="1" applyFill="1" applyBorder="1" applyAlignment="1">
      <alignment horizontal="center" vertical="top" wrapText="1"/>
    </xf>
    <xf numFmtId="49" fontId="21" fillId="5" borderId="30" xfId="0" applyNumberFormat="1" applyFont="1" applyFill="1" applyBorder="1" applyAlignment="1">
      <alignment horizontal="center" vertical="top" wrapText="1"/>
    </xf>
    <xf numFmtId="49" fontId="21" fillId="5" borderId="31" xfId="0" applyNumberFormat="1" applyFont="1" applyFill="1" applyBorder="1" applyAlignment="1">
      <alignment horizontal="center" vertical="top" wrapText="1"/>
    </xf>
    <xf numFmtId="49" fontId="21" fillId="5" borderId="32" xfId="0" applyNumberFormat="1" applyFont="1" applyFill="1" applyBorder="1" applyAlignment="1">
      <alignment horizontal="center" vertical="top" wrapText="1"/>
    </xf>
    <xf numFmtId="49" fontId="21" fillId="5" borderId="0" xfId="0" applyNumberFormat="1" applyFont="1" applyFill="1" applyBorder="1" applyAlignment="1">
      <alignment horizontal="center" vertical="top" wrapText="1"/>
    </xf>
    <xf numFmtId="49" fontId="21" fillId="5" borderId="4" xfId="0" applyNumberFormat="1" applyFont="1" applyFill="1" applyBorder="1" applyAlignment="1">
      <alignment horizontal="center" vertical="top" wrapText="1"/>
    </xf>
    <xf numFmtId="0" fontId="28" fillId="0" borderId="11" xfId="0" applyFont="1" applyBorder="1" applyAlignment="1">
      <alignment horizontal="left"/>
    </xf>
    <xf numFmtId="0" fontId="28" fillId="0" borderId="18" xfId="0" applyFont="1" applyBorder="1" applyAlignment="1">
      <alignment horizontal="left"/>
    </xf>
    <xf numFmtId="0" fontId="12" fillId="0" borderId="4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8" fillId="0" borderId="48" xfId="0" applyFont="1" applyBorder="1" applyAlignment="1">
      <alignment horizontal="left" vertical="center" wrapText="1"/>
    </xf>
    <xf numFmtId="0" fontId="28" fillId="0" borderId="49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28" fillId="0" borderId="19" xfId="0" applyFont="1" applyBorder="1" applyAlignment="1">
      <alignment horizontal="left" vertical="center" wrapText="1"/>
    </xf>
    <xf numFmtId="0" fontId="28" fillId="0" borderId="11" xfId="0" applyFont="1" applyBorder="1" applyAlignment="1">
      <alignment horizontal="left" wrapText="1"/>
    </xf>
    <xf numFmtId="0" fontId="28" fillId="0" borderId="18" xfId="0" applyFont="1" applyBorder="1" applyAlignment="1">
      <alignment horizontal="left" wrapText="1"/>
    </xf>
  </cellXfs>
  <cellStyles count="5">
    <cellStyle name="40% - Accent1 2" xfId="1"/>
    <cellStyle name="Accent1 2" xfId="2"/>
    <cellStyle name="Heading 1 2" xfId="3"/>
    <cellStyle name="Normal" xfId="0" builtinId="0" customBuiltin="1"/>
    <cellStyle name="Normal 2" xfId="4"/>
  </cellStyles>
  <dxfs count="8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>
      <tableStyleElement type="wholeTable" dxfId="85"/>
      <tableStyleElement type="headerRow" dxfId="84"/>
      <tableStyleElement type="totalRow" dxfId="83"/>
      <tableStyleElement type="firstColumn" dxfId="82"/>
      <tableStyleElement type="lastColumn" dxfId="81"/>
      <tableStyleElement type="firstRowStripe" dxfId="80"/>
      <tableStyleElement type="firstColumnStripe" dxfId="79"/>
    </tableStyle>
    <tableStyle name="TableStyleLight9 2" pivot="0" count="4">
      <tableStyleElement type="wholeTable" dxfId="78"/>
      <tableStyleElement type="headerRow" dxfId="77"/>
      <tableStyleElement type="totalRow" dxfId="76"/>
      <tableStyleElement type="firstColumn" dxfId="75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10_college_cal">
  <a:themeElements>
    <a:clrScheme name="Assignment Calen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B5D4"/>
      </a:accent1>
      <a:accent2>
        <a:srgbClr val="FFCCCC"/>
      </a:accent2>
      <a:accent3>
        <a:srgbClr val="4DBB68"/>
      </a:accent3>
      <a:accent4>
        <a:srgbClr val="FFFB59"/>
      </a:accent4>
      <a:accent5>
        <a:srgbClr val="FF9900"/>
      </a:accent5>
      <a:accent6>
        <a:srgbClr val="AC75D5"/>
      </a:accent6>
      <a:hlink>
        <a:srgbClr val="57B5D4"/>
      </a:hlink>
      <a:folHlink>
        <a:srgbClr val="BA4F8B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O153"/>
  <sheetViews>
    <sheetView showGridLines="0" topLeftCell="B1" zoomScaleNormal="100" zoomScalePageLayoutView="84" workbookViewId="0">
      <selection activeCell="M6" sqref="M6:N6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9" ht="11.25" customHeight="1"/>
    <row r="2" spans="1:19" ht="18" customHeight="1">
      <c r="A2" s="4"/>
      <c r="B2" s="83" t="s">
        <v>3</v>
      </c>
      <c r="C2" s="21"/>
      <c r="D2" s="21"/>
      <c r="E2" s="21"/>
      <c r="F2" s="21"/>
      <c r="G2" s="21"/>
      <c r="H2" s="21"/>
      <c r="I2" s="21"/>
      <c r="J2" s="22"/>
      <c r="K2" s="67" t="s">
        <v>2</v>
      </c>
      <c r="L2" s="68">
        <v>2013</v>
      </c>
      <c r="M2" s="68"/>
      <c r="N2" s="71">
        <v>2021</v>
      </c>
    </row>
    <row r="3" spans="1:19" ht="21" customHeight="1">
      <c r="A3" s="4"/>
      <c r="B3" s="84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69"/>
      <c r="L3" s="70"/>
      <c r="M3" s="70"/>
      <c r="N3" s="72"/>
    </row>
    <row r="4" spans="1:19" ht="18" customHeight="1">
      <c r="A4" s="4"/>
      <c r="B4" s="84"/>
      <c r="C4" s="10">
        <f>IF(DAY(JanSun1)=1,JanSun1-6,JanSun1+1)</f>
        <v>44193</v>
      </c>
      <c r="D4" s="10">
        <f>IF(DAY(JanSun1)=1,JanSun1-5,JanSun1+2)</f>
        <v>44194</v>
      </c>
      <c r="E4" s="10">
        <f>IF(DAY(JanSun1)=1,JanSun1-4,JanSun1+3)</f>
        <v>44195</v>
      </c>
      <c r="F4" s="10">
        <f>IF(DAY(JanSun1)=1,JanSun1-3,JanSun1+4)</f>
        <v>44196</v>
      </c>
      <c r="G4" s="10">
        <f>IF(DAY(JanSun1)=1,JanSun1-2,JanSun1+5)</f>
        <v>44197</v>
      </c>
      <c r="H4" s="10">
        <f>IF(DAY(JanSun1)=1,JanSun1-1,JanSun1+6)</f>
        <v>44198</v>
      </c>
      <c r="I4" s="10">
        <f>IF(DAY(JanSun1)=1,JanSun1,JanSun1+7)</f>
        <v>44199</v>
      </c>
      <c r="J4" s="5"/>
      <c r="K4" s="54" t="s">
        <v>11</v>
      </c>
      <c r="L4" s="37">
        <v>4</v>
      </c>
      <c r="M4" s="63" t="s">
        <v>34</v>
      </c>
      <c r="N4" s="64"/>
    </row>
    <row r="5" spans="1:19" ht="18" customHeight="1">
      <c r="A5" s="4"/>
      <c r="B5" s="84"/>
      <c r="C5" s="10">
        <f>IF(DAY(JanSun1)=1,JanSun1+1,JanSun1+8)</f>
        <v>44200</v>
      </c>
      <c r="D5" s="10">
        <f>IF(DAY(JanSun1)=1,JanSun1+2,JanSun1+9)</f>
        <v>44201</v>
      </c>
      <c r="E5" s="10">
        <f>IF(DAY(JanSun1)=1,JanSun1+3,JanSun1+10)</f>
        <v>44202</v>
      </c>
      <c r="F5" s="10">
        <f>IF(DAY(JanSun1)=1,JanSun1+4,JanSun1+11)</f>
        <v>44203</v>
      </c>
      <c r="G5" s="10">
        <f>IF(DAY(JanSun1)=1,JanSun1+5,JanSun1+12)</f>
        <v>44204</v>
      </c>
      <c r="H5" s="10">
        <f>IF(DAY(JanSun1)=1,JanSun1+6,JanSun1+13)</f>
        <v>44205</v>
      </c>
      <c r="I5" s="10">
        <f>IF(DAY(JanSun1)=1,JanSun1+7,JanSun1+14)</f>
        <v>44206</v>
      </c>
      <c r="J5" s="5"/>
      <c r="K5" s="53"/>
      <c r="L5" s="17">
        <v>25</v>
      </c>
      <c r="M5" s="57" t="s">
        <v>37</v>
      </c>
      <c r="N5" s="58"/>
    </row>
    <row r="6" spans="1:19" ht="18" customHeight="1">
      <c r="A6" s="4"/>
      <c r="B6" s="84"/>
      <c r="C6" s="10">
        <f>IF(DAY(JanSun1)=1,JanSun1+8,JanSun1+15)</f>
        <v>44207</v>
      </c>
      <c r="D6" s="10">
        <f>IF(DAY(JanSun1)=1,JanSun1+9,JanSun1+16)</f>
        <v>44208</v>
      </c>
      <c r="E6" s="10">
        <f>IF(DAY(JanSun1)=1,JanSun1+10,JanSun1+17)</f>
        <v>44209</v>
      </c>
      <c r="F6" s="10">
        <f>IF(DAY(JanSun1)=1,JanSun1+11,JanSun1+18)</f>
        <v>44210</v>
      </c>
      <c r="G6" s="10">
        <f>IF(DAY(JanSun1)=1,JanSun1+12,JanSun1+19)</f>
        <v>44211</v>
      </c>
      <c r="H6" s="10">
        <f>IF(DAY(JanSun1)=1,JanSun1+13,JanSun1+20)</f>
        <v>44212</v>
      </c>
      <c r="I6" s="10">
        <f>IF(DAY(JanSun1)=1,JanSun1+14,JanSun1+21)</f>
        <v>44213</v>
      </c>
      <c r="J6" s="5"/>
      <c r="K6" s="53"/>
      <c r="L6" s="17"/>
      <c r="M6" s="57" t="s">
        <v>35</v>
      </c>
      <c r="N6" s="58"/>
      <c r="S6" s="38"/>
    </row>
    <row r="7" spans="1:19" ht="18" customHeight="1">
      <c r="A7" s="4"/>
      <c r="B7" s="84"/>
      <c r="C7" s="10">
        <f>IF(DAY(JanSun1)=1,JanSun1+15,JanSun1+22)</f>
        <v>44214</v>
      </c>
      <c r="D7" s="10">
        <f>IF(DAY(JanSun1)=1,JanSun1+16,JanSun1+23)</f>
        <v>44215</v>
      </c>
      <c r="E7" s="10">
        <f>IF(DAY(JanSun1)=1,JanSun1+17,JanSun1+24)</f>
        <v>44216</v>
      </c>
      <c r="F7" s="10">
        <f>IF(DAY(JanSun1)=1,JanSun1+18,JanSun1+25)</f>
        <v>44217</v>
      </c>
      <c r="G7" s="10">
        <f>IF(DAY(JanSun1)=1,JanSun1+19,JanSun1+26)</f>
        <v>44218</v>
      </c>
      <c r="H7" s="10">
        <f>IF(DAY(JanSun1)=1,JanSun1+20,JanSun1+27)</f>
        <v>44219</v>
      </c>
      <c r="I7" s="10">
        <f>IF(DAY(JanSun1)=1,JanSun1+21,JanSun1+28)</f>
        <v>44220</v>
      </c>
      <c r="J7" s="5"/>
      <c r="K7" s="11"/>
      <c r="L7" s="17"/>
      <c r="M7" s="65"/>
      <c r="N7" s="66"/>
    </row>
    <row r="8" spans="1:19" ht="18.75" customHeight="1">
      <c r="A8" s="4"/>
      <c r="B8" s="84"/>
      <c r="C8" s="10">
        <f>IF(DAY(JanSun1)=1,JanSun1+22,JanSun1+29)</f>
        <v>44221</v>
      </c>
      <c r="D8" s="10">
        <f>IF(DAY(JanSun1)=1,JanSun1+23,JanSun1+30)</f>
        <v>44222</v>
      </c>
      <c r="E8" s="10">
        <f>IF(DAY(JanSun1)=1,JanSun1+24,JanSun1+31)</f>
        <v>44223</v>
      </c>
      <c r="F8" s="10">
        <f>IF(DAY(JanSun1)=1,JanSun1+25,JanSun1+32)</f>
        <v>44224</v>
      </c>
      <c r="G8" s="10">
        <f>IF(DAY(JanSun1)=1,JanSun1+26,JanSun1+33)</f>
        <v>44225</v>
      </c>
      <c r="H8" s="10">
        <f>IF(DAY(JanSun1)=1,JanSun1+27,JanSun1+34)</f>
        <v>44226</v>
      </c>
      <c r="I8" s="10">
        <f>IF(DAY(JanSun1)=1,JanSun1+28,JanSun1+35)</f>
        <v>44227</v>
      </c>
      <c r="J8" s="5"/>
      <c r="K8" s="11"/>
      <c r="L8" s="17"/>
      <c r="M8" s="57"/>
      <c r="N8" s="58"/>
    </row>
    <row r="9" spans="1:19" ht="18" customHeight="1">
      <c r="A9" s="4"/>
      <c r="B9" s="84"/>
      <c r="C9" s="10">
        <f>IF(DAY(JanSun1)=1,JanSun1+29,JanSun1+36)</f>
        <v>44228</v>
      </c>
      <c r="D9" s="10">
        <f>IF(DAY(JanSun1)=1,JanSun1+30,JanSun1+37)</f>
        <v>44229</v>
      </c>
      <c r="E9" s="10">
        <f>IF(DAY(JanSun1)=1,JanSun1+31,JanSun1+38)</f>
        <v>44230</v>
      </c>
      <c r="F9" s="10">
        <f>IF(DAY(JanSun1)=1,JanSun1+32,JanSun1+39)</f>
        <v>44231</v>
      </c>
      <c r="G9" s="10">
        <f>IF(DAY(JanSun1)=1,JanSun1+33,JanSun1+40)</f>
        <v>44232</v>
      </c>
      <c r="H9" s="10">
        <f>IF(DAY(JanSun1)=1,JanSun1+34,JanSun1+41)</f>
        <v>44233</v>
      </c>
      <c r="I9" s="10">
        <f>IF(DAY(JanSun1)=1,JanSun1+35,JanSun1+42)</f>
        <v>44234</v>
      </c>
      <c r="J9" s="5"/>
      <c r="K9" s="12"/>
      <c r="L9" s="18"/>
      <c r="M9" s="57"/>
      <c r="N9" s="58"/>
    </row>
    <row r="10" spans="1:19" ht="18" customHeight="1">
      <c r="A10" s="4"/>
      <c r="B10" s="85"/>
      <c r="C10" s="23"/>
      <c r="D10" s="23"/>
      <c r="E10" s="23"/>
      <c r="F10" s="23"/>
      <c r="G10" s="23"/>
      <c r="H10" s="23"/>
      <c r="I10" s="23"/>
      <c r="J10" s="24"/>
      <c r="K10" s="52" t="s">
        <v>38</v>
      </c>
      <c r="L10" s="16">
        <v>5</v>
      </c>
      <c r="M10" s="63" t="s">
        <v>34</v>
      </c>
      <c r="N10" s="64"/>
    </row>
    <row r="11" spans="1:19" ht="18" customHeight="1">
      <c r="A11" s="4"/>
      <c r="B11" s="86" t="s">
        <v>10</v>
      </c>
      <c r="C11" s="87"/>
      <c r="D11" s="87"/>
      <c r="E11" s="87"/>
      <c r="F11" s="87"/>
      <c r="G11" s="87"/>
      <c r="H11" s="87"/>
      <c r="I11" s="87"/>
      <c r="J11" s="88"/>
      <c r="K11" s="53"/>
      <c r="L11" s="17">
        <v>26</v>
      </c>
      <c r="M11" s="57" t="s">
        <v>37</v>
      </c>
      <c r="N11" s="58"/>
    </row>
    <row r="12" spans="1:19" ht="18" customHeight="1">
      <c r="A12" s="4"/>
      <c r="B12" s="86"/>
      <c r="C12" s="87"/>
      <c r="D12" s="87"/>
      <c r="E12" s="87"/>
      <c r="F12" s="87"/>
      <c r="G12" s="87"/>
      <c r="H12" s="87"/>
      <c r="I12" s="87"/>
      <c r="J12" s="88"/>
      <c r="K12" s="53"/>
      <c r="L12" s="17"/>
      <c r="M12" s="57" t="s">
        <v>35</v>
      </c>
      <c r="N12" s="58"/>
    </row>
    <row r="13" spans="1:19" ht="18" customHeight="1">
      <c r="B13" s="3" t="s">
        <v>11</v>
      </c>
      <c r="C13" s="74" t="s">
        <v>12</v>
      </c>
      <c r="D13" s="76"/>
      <c r="E13" s="74" t="s">
        <v>13</v>
      </c>
      <c r="F13" s="76"/>
      <c r="G13" s="74" t="s">
        <v>14</v>
      </c>
      <c r="H13" s="76"/>
      <c r="I13" s="74" t="s">
        <v>15</v>
      </c>
      <c r="J13" s="75"/>
      <c r="K13" s="11"/>
      <c r="L13" s="17"/>
      <c r="M13" s="65"/>
      <c r="N13" s="66"/>
    </row>
    <row r="14" spans="1:19" ht="18" customHeight="1">
      <c r="B14" s="8"/>
      <c r="C14" s="59"/>
      <c r="D14" s="60"/>
      <c r="E14" s="59"/>
      <c r="F14" s="60"/>
      <c r="G14" s="59"/>
      <c r="H14" s="60"/>
      <c r="I14" s="59"/>
      <c r="J14" s="73"/>
      <c r="K14" s="11"/>
      <c r="L14" s="17"/>
      <c r="M14" s="57"/>
      <c r="N14" s="58"/>
    </row>
    <row r="15" spans="1:19" ht="18" customHeight="1">
      <c r="B15" s="6"/>
      <c r="C15" s="61"/>
      <c r="D15" s="62"/>
      <c r="E15" s="61"/>
      <c r="F15" s="62"/>
      <c r="G15" s="61"/>
      <c r="H15" s="62"/>
      <c r="I15" s="77"/>
      <c r="J15" s="78"/>
      <c r="K15" s="13"/>
      <c r="L15" s="19"/>
      <c r="M15" s="57"/>
      <c r="N15" s="58"/>
    </row>
    <row r="16" spans="1:19" ht="18" customHeight="1">
      <c r="B16" s="8"/>
      <c r="C16" s="59"/>
      <c r="D16" s="60"/>
      <c r="E16" s="59"/>
      <c r="F16" s="60"/>
      <c r="G16" s="59"/>
      <c r="H16" s="60"/>
      <c r="I16" s="91"/>
      <c r="J16" s="92"/>
      <c r="K16" s="48" t="s">
        <v>13</v>
      </c>
      <c r="L16" s="16">
        <v>6</v>
      </c>
      <c r="M16" s="63" t="s">
        <v>34</v>
      </c>
      <c r="N16" s="64"/>
    </row>
    <row r="17" spans="2:14" ht="15" customHeight="1">
      <c r="B17" s="6"/>
      <c r="C17" s="61"/>
      <c r="D17" s="62"/>
      <c r="E17" s="61"/>
      <c r="F17" s="62"/>
      <c r="G17" s="61"/>
      <c r="H17" s="62"/>
      <c r="I17" s="77"/>
      <c r="J17" s="78"/>
      <c r="K17" s="49"/>
      <c r="L17" s="17">
        <v>27</v>
      </c>
      <c r="M17" s="57" t="s">
        <v>37</v>
      </c>
      <c r="N17" s="58"/>
    </row>
    <row r="18" spans="2:14" ht="15.75" customHeight="1">
      <c r="B18" s="9"/>
      <c r="C18" s="79"/>
      <c r="D18" s="80"/>
      <c r="E18" s="79"/>
      <c r="F18" s="80"/>
      <c r="G18" s="79"/>
      <c r="H18" s="80"/>
      <c r="I18" s="79"/>
      <c r="J18" s="81"/>
      <c r="K18" s="49"/>
      <c r="L18" s="17"/>
      <c r="M18" s="57" t="s">
        <v>35</v>
      </c>
      <c r="N18" s="58"/>
    </row>
    <row r="19" spans="2:14" ht="18" customHeight="1">
      <c r="B19" s="6"/>
      <c r="C19" s="61"/>
      <c r="D19" s="62"/>
      <c r="E19" s="61"/>
      <c r="F19" s="62"/>
      <c r="G19" s="61"/>
      <c r="H19" s="62"/>
      <c r="I19" s="77"/>
      <c r="J19" s="78"/>
      <c r="K19" s="11"/>
      <c r="L19" s="17"/>
      <c r="M19" s="65"/>
      <c r="N19" s="66"/>
    </row>
    <row r="20" spans="2:14" ht="18" customHeight="1">
      <c r="B20" s="8"/>
      <c r="C20" s="59"/>
      <c r="D20" s="60"/>
      <c r="E20" s="59"/>
      <c r="F20" s="60"/>
      <c r="G20" s="59"/>
      <c r="H20" s="60"/>
      <c r="I20" s="59"/>
      <c r="J20" s="73"/>
      <c r="K20" s="11"/>
      <c r="L20" s="17"/>
      <c r="M20" s="57"/>
      <c r="N20" s="58"/>
    </row>
    <row r="21" spans="2:14" ht="18" customHeight="1">
      <c r="B21" s="6"/>
      <c r="C21" s="61"/>
      <c r="D21" s="62"/>
      <c r="E21" s="61"/>
      <c r="F21" s="62"/>
      <c r="G21" s="61"/>
      <c r="H21" s="62"/>
      <c r="I21" s="89"/>
      <c r="J21" s="90"/>
      <c r="K21" s="13"/>
      <c r="L21" s="19"/>
      <c r="M21" s="57"/>
      <c r="N21" s="58"/>
    </row>
    <row r="22" spans="2:14" ht="18" customHeight="1">
      <c r="B22" s="8"/>
      <c r="C22" s="59"/>
      <c r="D22" s="60"/>
      <c r="E22" s="59"/>
      <c r="F22" s="60"/>
      <c r="G22" s="59"/>
      <c r="H22" s="60"/>
      <c r="I22" s="59"/>
      <c r="J22" s="73"/>
      <c r="K22" s="48" t="s">
        <v>14</v>
      </c>
      <c r="L22" s="16"/>
      <c r="M22" s="65"/>
      <c r="N22" s="66"/>
    </row>
    <row r="23" spans="2:14" ht="18" customHeight="1">
      <c r="B23" s="6"/>
      <c r="C23" s="61"/>
      <c r="D23" s="62"/>
      <c r="E23" s="61"/>
      <c r="F23" s="62"/>
      <c r="G23" s="61"/>
      <c r="H23" s="62"/>
      <c r="I23" s="77"/>
      <c r="J23" s="78"/>
      <c r="K23" s="49"/>
      <c r="L23" s="17">
        <v>21</v>
      </c>
      <c r="M23" s="63" t="s">
        <v>34</v>
      </c>
      <c r="N23" s="64"/>
    </row>
    <row r="24" spans="2:14" ht="18" customHeight="1">
      <c r="B24" s="8"/>
      <c r="C24" s="59"/>
      <c r="D24" s="60"/>
      <c r="E24" s="59"/>
      <c r="F24" s="60"/>
      <c r="G24" s="59"/>
      <c r="H24" s="60"/>
      <c r="I24" s="59"/>
      <c r="J24" s="73"/>
      <c r="K24" s="49"/>
      <c r="L24" s="17">
        <v>28</v>
      </c>
      <c r="M24" s="57" t="s">
        <v>37</v>
      </c>
      <c r="N24" s="58"/>
    </row>
    <row r="25" spans="2:14" ht="18" customHeight="1">
      <c r="B25" s="6"/>
      <c r="C25" s="61"/>
      <c r="D25" s="62"/>
      <c r="E25" s="61"/>
      <c r="F25" s="62"/>
      <c r="G25" s="61"/>
      <c r="H25" s="62"/>
      <c r="I25" s="77"/>
      <c r="J25" s="78"/>
      <c r="K25" s="49"/>
      <c r="L25" s="17"/>
      <c r="M25" s="57" t="s">
        <v>35</v>
      </c>
      <c r="N25" s="58"/>
    </row>
    <row r="26" spans="2:14" ht="18" customHeight="1">
      <c r="B26" s="8"/>
      <c r="C26" s="59"/>
      <c r="D26" s="60"/>
      <c r="E26" s="59"/>
      <c r="F26" s="60"/>
      <c r="G26" s="59"/>
      <c r="H26" s="60"/>
      <c r="I26" s="59"/>
      <c r="J26" s="73"/>
      <c r="K26" s="11"/>
      <c r="L26" s="17"/>
      <c r="M26" s="42" t="s">
        <v>39</v>
      </c>
      <c r="N26" s="43"/>
    </row>
    <row r="27" spans="2:14" ht="18" customHeight="1">
      <c r="B27" s="6"/>
      <c r="C27" s="61"/>
      <c r="D27" s="62"/>
      <c r="E27" s="61"/>
      <c r="F27" s="62"/>
      <c r="G27" s="61"/>
      <c r="H27" s="62"/>
      <c r="I27" s="77"/>
      <c r="J27" s="78"/>
      <c r="K27" s="13"/>
      <c r="L27" s="19"/>
      <c r="M27" s="46"/>
      <c r="N27" s="47"/>
    </row>
    <row r="28" spans="2:14" ht="18" customHeight="1">
      <c r="B28" s="8"/>
      <c r="C28" s="59"/>
      <c r="D28" s="60"/>
      <c r="E28" s="59"/>
      <c r="F28" s="60"/>
      <c r="G28" s="59"/>
      <c r="H28" s="60"/>
      <c r="I28" s="59"/>
      <c r="J28" s="73"/>
      <c r="K28" s="52" t="s">
        <v>15</v>
      </c>
      <c r="L28" s="16">
        <v>22</v>
      </c>
      <c r="M28" s="63" t="s">
        <v>34</v>
      </c>
      <c r="N28" s="64"/>
    </row>
    <row r="29" spans="2:14" ht="18" customHeight="1">
      <c r="B29" s="6"/>
      <c r="C29" s="61"/>
      <c r="D29" s="62"/>
      <c r="E29" s="61"/>
      <c r="F29" s="62"/>
      <c r="G29" s="61"/>
      <c r="H29" s="62"/>
      <c r="I29" s="61"/>
      <c r="J29" s="82"/>
      <c r="K29" s="53"/>
      <c r="L29" s="17">
        <v>29</v>
      </c>
      <c r="M29" s="57" t="s">
        <v>37</v>
      </c>
      <c r="N29" s="58"/>
    </row>
    <row r="30" spans="2:14" ht="18" customHeight="1">
      <c r="B30" s="6"/>
      <c r="C30" s="61"/>
      <c r="D30" s="62"/>
      <c r="E30" s="61"/>
      <c r="F30" s="62"/>
      <c r="G30" s="61"/>
      <c r="H30" s="62"/>
      <c r="I30" s="61"/>
      <c r="J30" s="82"/>
      <c r="K30" s="53"/>
      <c r="L30" s="17"/>
      <c r="M30" s="57" t="s">
        <v>35</v>
      </c>
      <c r="N30" s="58"/>
    </row>
    <row r="31" spans="2:14" ht="18" customHeight="1">
      <c r="B31" s="93" t="s">
        <v>26</v>
      </c>
      <c r="C31" s="94"/>
      <c r="D31" s="94"/>
      <c r="E31" s="94"/>
      <c r="F31" s="94"/>
      <c r="G31" s="94"/>
      <c r="H31" s="94"/>
      <c r="I31" s="94"/>
      <c r="J31" s="95"/>
      <c r="K31" s="14"/>
      <c r="L31" s="17"/>
      <c r="M31" s="42"/>
      <c r="N31" s="43"/>
    </row>
    <row r="32" spans="2:14" ht="18" customHeight="1">
      <c r="B32" s="96"/>
      <c r="C32" s="97"/>
      <c r="D32" s="97"/>
      <c r="E32" s="97"/>
      <c r="F32" s="97"/>
      <c r="G32" s="97"/>
      <c r="H32" s="97"/>
      <c r="I32" s="97"/>
      <c r="J32" s="98"/>
      <c r="K32" s="14"/>
      <c r="L32" s="17"/>
      <c r="M32" s="42"/>
      <c r="N32" s="43"/>
    </row>
    <row r="33" spans="2:14" ht="18" customHeight="1">
      <c r="B33" s="96"/>
      <c r="C33" s="97"/>
      <c r="D33" s="97"/>
      <c r="E33" s="97"/>
      <c r="F33" s="97"/>
      <c r="G33" s="97"/>
      <c r="H33" s="97"/>
      <c r="I33" s="97"/>
      <c r="J33" s="98"/>
      <c r="K33" s="15"/>
      <c r="L33" s="20"/>
      <c r="M33" s="44"/>
      <c r="N33" s="45"/>
    </row>
    <row r="34" spans="2:14" ht="18" customHeight="1">
      <c r="B34" s="32"/>
      <c r="C34" s="32"/>
      <c r="D34" s="32"/>
      <c r="E34" s="32"/>
      <c r="F34" s="32"/>
      <c r="G34" s="32"/>
      <c r="H34" s="32"/>
      <c r="I34" s="33"/>
      <c r="J34" s="33"/>
      <c r="K34" s="54"/>
      <c r="L34" s="16"/>
      <c r="M34" s="55"/>
      <c r="N34" s="56"/>
    </row>
    <row r="35" spans="2:14" ht="16.5" customHeight="1">
      <c r="K35" s="53"/>
      <c r="L35" s="17"/>
      <c r="M35" s="42"/>
      <c r="N35" s="43"/>
    </row>
    <row r="36" spans="2:14" ht="16.5" customHeight="1">
      <c r="K36" s="53"/>
      <c r="L36" s="17"/>
      <c r="M36" s="42"/>
      <c r="N36" s="43"/>
    </row>
    <row r="37" spans="2:14" ht="16.5" customHeight="1">
      <c r="K37" s="11"/>
      <c r="L37" s="17"/>
      <c r="M37" s="42"/>
      <c r="N37" s="43"/>
    </row>
    <row r="38" spans="2:14" ht="16.5" customHeight="1">
      <c r="K38" s="11"/>
      <c r="L38" s="17"/>
      <c r="M38" s="42"/>
      <c r="N38" s="43"/>
    </row>
    <row r="39" spans="2:14" ht="16.5" customHeight="1">
      <c r="E39" s="34" t="s">
        <v>27</v>
      </c>
      <c r="K39" s="12"/>
      <c r="L39" s="18"/>
      <c r="M39" s="46"/>
      <c r="N39" s="47"/>
    </row>
    <row r="40" spans="2:14" ht="16.5" customHeight="1">
      <c r="K40" s="52"/>
      <c r="L40" s="16"/>
      <c r="M40" s="50"/>
      <c r="N40" s="51"/>
    </row>
    <row r="41" spans="2:14" ht="16.5" customHeight="1">
      <c r="K41" s="53"/>
      <c r="L41" s="17"/>
      <c r="M41" s="42"/>
      <c r="N41" s="43"/>
    </row>
    <row r="42" spans="2:14" ht="16.5" customHeight="1">
      <c r="K42" s="53"/>
      <c r="L42" s="17"/>
      <c r="M42" s="42"/>
      <c r="N42" s="43"/>
    </row>
    <row r="43" spans="2:14" ht="16.5" customHeight="1">
      <c r="K43" s="11"/>
      <c r="L43" s="17"/>
      <c r="M43" s="42"/>
      <c r="N43" s="43"/>
    </row>
    <row r="44" spans="2:14" ht="16.5" customHeight="1">
      <c r="K44" s="11"/>
      <c r="L44" s="17"/>
      <c r="M44" s="42"/>
      <c r="N44" s="43"/>
    </row>
    <row r="45" spans="2:14" ht="16.5" customHeight="1">
      <c r="K45" s="13"/>
      <c r="L45" s="19"/>
      <c r="M45" s="46"/>
      <c r="N45" s="47"/>
    </row>
    <row r="46" spans="2:14" ht="16.5" customHeight="1">
      <c r="K46" s="48"/>
      <c r="L46" s="16"/>
      <c r="M46" s="50"/>
      <c r="N46" s="51"/>
    </row>
    <row r="47" spans="2:14" ht="16.5" customHeight="1">
      <c r="K47" s="49"/>
      <c r="L47" s="17"/>
      <c r="M47" s="42"/>
      <c r="N47" s="43"/>
    </row>
    <row r="48" spans="2:14" ht="16.5" customHeight="1">
      <c r="K48" s="49"/>
      <c r="L48" s="17"/>
      <c r="M48" s="42"/>
      <c r="N48" s="43"/>
    </row>
    <row r="49" spans="11:14" ht="16.5" customHeight="1">
      <c r="K49" s="11"/>
      <c r="L49" s="17"/>
      <c r="M49" s="42"/>
      <c r="N49" s="43"/>
    </row>
    <row r="50" spans="11:14" ht="16.5" customHeight="1">
      <c r="K50" s="11"/>
      <c r="L50" s="17"/>
      <c r="M50" s="42"/>
      <c r="N50" s="43"/>
    </row>
    <row r="51" spans="11:14" ht="16.5" customHeight="1">
      <c r="K51" s="13"/>
      <c r="L51" s="19"/>
      <c r="M51" s="46"/>
      <c r="N51" s="47"/>
    </row>
    <row r="52" spans="11:14" ht="16.5" customHeight="1">
      <c r="K52" s="48"/>
      <c r="L52" s="16"/>
      <c r="M52" s="50"/>
      <c r="N52" s="51"/>
    </row>
    <row r="53" spans="11:14" ht="16.5" customHeight="1">
      <c r="K53" s="49"/>
      <c r="L53" s="17"/>
      <c r="M53" s="42"/>
      <c r="N53" s="43"/>
    </row>
    <row r="54" spans="11:14" ht="16.5" customHeight="1">
      <c r="K54" s="49"/>
      <c r="L54" s="17"/>
      <c r="M54" s="42"/>
      <c r="N54" s="43"/>
    </row>
    <row r="55" spans="11:14" ht="16.5" customHeight="1">
      <c r="K55" s="49"/>
      <c r="L55" s="17"/>
      <c r="M55" s="42"/>
      <c r="N55" s="43"/>
    </row>
    <row r="56" spans="11:14" ht="16.5" customHeight="1">
      <c r="K56" s="11"/>
      <c r="L56" s="17"/>
      <c r="M56" s="42"/>
      <c r="N56" s="43"/>
    </row>
    <row r="57" spans="11:14" ht="16.5" customHeight="1">
      <c r="K57" s="13"/>
      <c r="L57" s="19"/>
      <c r="M57" s="46"/>
      <c r="N57" s="47"/>
    </row>
    <row r="58" spans="11:14" ht="16.5" customHeight="1">
      <c r="K58" s="52"/>
      <c r="L58" s="16"/>
      <c r="M58" s="50"/>
      <c r="N58" s="51"/>
    </row>
    <row r="59" spans="11:14" ht="16.5" customHeight="1">
      <c r="K59" s="53"/>
      <c r="L59" s="17"/>
      <c r="M59" s="42"/>
      <c r="N59" s="43"/>
    </row>
    <row r="60" spans="11:14" ht="16.5" customHeight="1">
      <c r="K60" s="53"/>
      <c r="L60" s="17"/>
      <c r="M60" s="42"/>
      <c r="N60" s="43"/>
    </row>
    <row r="61" spans="11:14" ht="16.5" customHeight="1">
      <c r="K61" s="14"/>
      <c r="L61" s="17"/>
      <c r="M61" s="42"/>
      <c r="N61" s="43"/>
    </row>
    <row r="62" spans="11:14" ht="16.5" customHeight="1">
      <c r="K62" s="14"/>
      <c r="L62" s="17"/>
      <c r="M62" s="42"/>
      <c r="N62" s="43"/>
    </row>
    <row r="63" spans="11:14" ht="16.5" customHeight="1">
      <c r="K63" s="15"/>
      <c r="L63" s="20"/>
      <c r="M63" s="44"/>
      <c r="N63" s="45"/>
    </row>
    <row r="64" spans="11:14" ht="16.5" customHeight="1">
      <c r="K64" s="54"/>
      <c r="L64" s="16"/>
      <c r="M64" s="55"/>
      <c r="N64" s="56"/>
    </row>
    <row r="65" spans="11:14" ht="16.5" customHeight="1">
      <c r="K65" s="53"/>
      <c r="L65" s="17"/>
      <c r="M65" s="42"/>
      <c r="N65" s="43"/>
    </row>
    <row r="66" spans="11:14" ht="16.5" customHeight="1">
      <c r="K66" s="53"/>
      <c r="L66" s="17"/>
      <c r="M66" s="42"/>
      <c r="N66" s="43"/>
    </row>
    <row r="67" spans="11:14" ht="16.5" customHeight="1">
      <c r="K67" s="11"/>
      <c r="L67" s="17"/>
      <c r="M67" s="42"/>
      <c r="N67" s="43"/>
    </row>
    <row r="68" spans="11:14" ht="16.5" customHeight="1">
      <c r="K68" s="11"/>
      <c r="L68" s="17"/>
      <c r="M68" s="42"/>
      <c r="N68" s="43"/>
    </row>
    <row r="69" spans="11:14" ht="16.5" customHeight="1">
      <c r="K69" s="12"/>
      <c r="L69" s="18"/>
      <c r="M69" s="46"/>
      <c r="N69" s="47"/>
    </row>
    <row r="70" spans="11:14" ht="16.5" customHeight="1">
      <c r="K70" s="52"/>
      <c r="L70" s="16"/>
      <c r="M70" s="50"/>
      <c r="N70" s="51"/>
    </row>
    <row r="71" spans="11:14" ht="16.5" customHeight="1">
      <c r="K71" s="53"/>
      <c r="L71" s="17"/>
      <c r="M71" s="42"/>
      <c r="N71" s="43"/>
    </row>
    <row r="72" spans="11:14" ht="16.5" customHeight="1">
      <c r="K72" s="53"/>
      <c r="L72" s="17"/>
      <c r="M72" s="42"/>
      <c r="N72" s="43"/>
    </row>
    <row r="73" spans="11:14" ht="16.5" customHeight="1">
      <c r="K73" s="11"/>
      <c r="L73" s="17"/>
      <c r="M73" s="42"/>
      <c r="N73" s="43"/>
    </row>
    <row r="74" spans="11:14" ht="16.5" customHeight="1">
      <c r="K74" s="11"/>
      <c r="L74" s="17"/>
      <c r="M74" s="42"/>
      <c r="N74" s="43"/>
    </row>
    <row r="75" spans="11:14" ht="16.5" customHeight="1">
      <c r="K75" s="13"/>
      <c r="L75" s="19"/>
      <c r="M75" s="46"/>
      <c r="N75" s="47"/>
    </row>
    <row r="76" spans="11:14" ht="16.5" customHeight="1">
      <c r="K76" s="48"/>
      <c r="L76" s="16"/>
      <c r="M76" s="50"/>
      <c r="N76" s="51"/>
    </row>
    <row r="77" spans="11:14" ht="16.5" customHeight="1">
      <c r="K77" s="49"/>
      <c r="L77" s="17"/>
      <c r="M77" s="42"/>
      <c r="N77" s="43"/>
    </row>
    <row r="78" spans="11:14" ht="16.5" customHeight="1">
      <c r="K78" s="49"/>
      <c r="L78" s="17"/>
      <c r="M78" s="42"/>
      <c r="N78" s="43"/>
    </row>
    <row r="79" spans="11:14" ht="16.5" customHeight="1">
      <c r="K79" s="11"/>
      <c r="L79" s="17"/>
      <c r="M79" s="42"/>
      <c r="N79" s="43"/>
    </row>
    <row r="80" spans="11:14" ht="16.5" customHeight="1">
      <c r="K80" s="11"/>
      <c r="L80" s="17"/>
      <c r="M80" s="42"/>
      <c r="N80" s="43"/>
    </row>
    <row r="81" spans="11:14" ht="16.5" customHeight="1">
      <c r="K81" s="13"/>
      <c r="L81" s="19"/>
      <c r="M81" s="46"/>
      <c r="N81" s="47"/>
    </row>
    <row r="82" spans="11:14" ht="16.5" customHeight="1">
      <c r="K82" s="48"/>
      <c r="L82" s="16"/>
      <c r="M82" s="50"/>
      <c r="N82" s="51"/>
    </row>
    <row r="83" spans="11:14" ht="16.5" customHeight="1">
      <c r="K83" s="49"/>
      <c r="L83" s="17"/>
      <c r="M83" s="42"/>
      <c r="N83" s="43"/>
    </row>
    <row r="84" spans="11:14" ht="16.5" customHeight="1">
      <c r="K84" s="49"/>
      <c r="L84" s="17"/>
      <c r="M84" s="42"/>
      <c r="N84" s="43"/>
    </row>
    <row r="85" spans="11:14" ht="16.5" customHeight="1">
      <c r="K85" s="49"/>
      <c r="L85" s="17"/>
      <c r="M85" s="42"/>
      <c r="N85" s="43"/>
    </row>
    <row r="86" spans="11:14" ht="16.5" customHeight="1">
      <c r="K86" s="11"/>
      <c r="L86" s="17"/>
      <c r="M86" s="42"/>
      <c r="N86" s="43"/>
    </row>
    <row r="87" spans="11:14" ht="16.5" customHeight="1">
      <c r="K87" s="13"/>
      <c r="L87" s="19"/>
      <c r="M87" s="46"/>
      <c r="N87" s="47"/>
    </row>
    <row r="88" spans="11:14" ht="16.5" customHeight="1">
      <c r="K88" s="52"/>
      <c r="L88" s="16"/>
      <c r="M88" s="50"/>
      <c r="N88" s="51"/>
    </row>
    <row r="89" spans="11:14" ht="16.5" customHeight="1">
      <c r="K89" s="53"/>
      <c r="L89" s="17"/>
      <c r="M89" s="42"/>
      <c r="N89" s="43"/>
    </row>
    <row r="90" spans="11:14" ht="16.5" customHeight="1">
      <c r="K90" s="53"/>
      <c r="L90" s="17"/>
      <c r="M90" s="42"/>
      <c r="N90" s="43"/>
    </row>
    <row r="91" spans="11:14" ht="16.5" customHeight="1">
      <c r="K91" s="14"/>
      <c r="L91" s="17"/>
      <c r="M91" s="42"/>
      <c r="N91" s="43"/>
    </row>
    <row r="92" spans="11:14" ht="16.5" customHeight="1">
      <c r="K92" s="14"/>
      <c r="L92" s="17"/>
      <c r="M92" s="42"/>
      <c r="N92" s="43"/>
    </row>
    <row r="93" spans="11:14" ht="16.5" customHeight="1">
      <c r="K93" s="15"/>
      <c r="L93" s="20"/>
      <c r="M93" s="44"/>
      <c r="N93" s="45"/>
    </row>
    <row r="94" spans="11:14" ht="16.5" customHeight="1">
      <c r="K94" s="54"/>
      <c r="L94" s="16"/>
      <c r="M94" s="55"/>
      <c r="N94" s="56"/>
    </row>
    <row r="95" spans="11:14" ht="16.5" customHeight="1">
      <c r="K95" s="53"/>
      <c r="L95" s="17"/>
      <c r="M95" s="42"/>
      <c r="N95" s="43"/>
    </row>
    <row r="96" spans="11:14" ht="16.5" customHeight="1">
      <c r="K96" s="53"/>
      <c r="L96" s="17"/>
      <c r="M96" s="42"/>
      <c r="N96" s="43"/>
    </row>
    <row r="97" spans="11:14" ht="16.5" customHeight="1">
      <c r="K97" s="11"/>
      <c r="L97" s="17"/>
      <c r="M97" s="42"/>
      <c r="N97" s="43"/>
    </row>
    <row r="98" spans="11:14" ht="16.5" customHeight="1">
      <c r="K98" s="11"/>
      <c r="L98" s="17"/>
      <c r="M98" s="42"/>
      <c r="N98" s="43"/>
    </row>
    <row r="99" spans="11:14" ht="16.5" customHeight="1">
      <c r="K99" s="12"/>
      <c r="L99" s="18"/>
      <c r="M99" s="46"/>
      <c r="N99" s="47"/>
    </row>
    <row r="100" spans="11:14" ht="16.5" customHeight="1">
      <c r="K100" s="52"/>
      <c r="L100" s="16"/>
      <c r="M100" s="50"/>
      <c r="N100" s="51"/>
    </row>
    <row r="101" spans="11:14" ht="16.5" customHeight="1">
      <c r="K101" s="53"/>
      <c r="L101" s="17"/>
      <c r="M101" s="42"/>
      <c r="N101" s="43"/>
    </row>
    <row r="102" spans="11:14" ht="16.5" customHeight="1">
      <c r="K102" s="53"/>
      <c r="L102" s="17"/>
      <c r="M102" s="42"/>
      <c r="N102" s="43"/>
    </row>
    <row r="103" spans="11:14" ht="16.5" customHeight="1">
      <c r="K103" s="11"/>
      <c r="L103" s="17"/>
      <c r="M103" s="42"/>
      <c r="N103" s="43"/>
    </row>
    <row r="104" spans="11:14" ht="16.5" customHeight="1">
      <c r="K104" s="11"/>
      <c r="L104" s="17"/>
      <c r="M104" s="42"/>
      <c r="N104" s="43"/>
    </row>
    <row r="105" spans="11:14" ht="16.5" customHeight="1">
      <c r="K105" s="13"/>
      <c r="L105" s="19"/>
      <c r="M105" s="46"/>
      <c r="N105" s="47"/>
    </row>
    <row r="106" spans="11:14" ht="16.5" customHeight="1">
      <c r="K106" s="48"/>
      <c r="L106" s="16"/>
      <c r="M106" s="50"/>
      <c r="N106" s="51"/>
    </row>
    <row r="107" spans="11:14" ht="16.5" customHeight="1">
      <c r="K107" s="49"/>
      <c r="L107" s="17"/>
      <c r="M107" s="42"/>
      <c r="N107" s="43"/>
    </row>
    <row r="108" spans="11:14" ht="16.5" customHeight="1">
      <c r="K108" s="49"/>
      <c r="L108" s="17"/>
      <c r="M108" s="42"/>
      <c r="N108" s="43"/>
    </row>
    <row r="109" spans="11:14" ht="16.5" customHeight="1">
      <c r="K109" s="11"/>
      <c r="L109" s="17"/>
      <c r="M109" s="42"/>
      <c r="N109" s="43"/>
    </row>
    <row r="110" spans="11:14" ht="16.5" customHeight="1">
      <c r="K110" s="11"/>
      <c r="L110" s="17"/>
      <c r="M110" s="42"/>
      <c r="N110" s="43"/>
    </row>
    <row r="111" spans="11:14" ht="16.5" customHeight="1">
      <c r="K111" s="13"/>
      <c r="L111" s="19"/>
      <c r="M111" s="46"/>
      <c r="N111" s="47"/>
    </row>
    <row r="112" spans="11:14" ht="16.5" customHeight="1">
      <c r="K112" s="48"/>
      <c r="L112" s="16"/>
      <c r="M112" s="50"/>
      <c r="N112" s="51"/>
    </row>
    <row r="113" spans="11:14" ht="16.5" customHeight="1">
      <c r="K113" s="49"/>
      <c r="L113" s="17"/>
      <c r="M113" s="42"/>
      <c r="N113" s="43"/>
    </row>
    <row r="114" spans="11:14" ht="16.5" customHeight="1">
      <c r="K114" s="49"/>
      <c r="L114" s="17"/>
      <c r="M114" s="42"/>
      <c r="N114" s="43"/>
    </row>
    <row r="115" spans="11:14" ht="16.5" customHeight="1">
      <c r="K115" s="49"/>
      <c r="L115" s="17"/>
      <c r="M115" s="42"/>
      <c r="N115" s="43"/>
    </row>
    <row r="116" spans="11:14" ht="16.5" customHeight="1">
      <c r="K116" s="11"/>
      <c r="L116" s="17"/>
      <c r="M116" s="42"/>
      <c r="N116" s="43"/>
    </row>
    <row r="117" spans="11:14" ht="16.5" customHeight="1">
      <c r="K117" s="13"/>
      <c r="L117" s="19"/>
      <c r="M117" s="46"/>
      <c r="N117" s="47"/>
    </row>
    <row r="118" spans="11:14" ht="16.5" customHeight="1">
      <c r="K118" s="52"/>
      <c r="L118" s="16"/>
      <c r="M118" s="50"/>
      <c r="N118" s="51"/>
    </row>
    <row r="119" spans="11:14" ht="16.5" customHeight="1">
      <c r="K119" s="53"/>
      <c r="L119" s="17"/>
      <c r="M119" s="42"/>
      <c r="N119" s="43"/>
    </row>
    <row r="120" spans="11:14" ht="16.5" customHeight="1">
      <c r="K120" s="53"/>
      <c r="L120" s="17"/>
      <c r="M120" s="42"/>
      <c r="N120" s="43"/>
    </row>
    <row r="121" spans="11:14" ht="16.5" customHeight="1">
      <c r="K121" s="14"/>
      <c r="L121" s="17"/>
      <c r="M121" s="42"/>
      <c r="N121" s="43"/>
    </row>
    <row r="122" spans="11:14" ht="16.5" customHeight="1">
      <c r="K122" s="14"/>
      <c r="L122" s="17"/>
      <c r="M122" s="42"/>
      <c r="N122" s="43"/>
    </row>
    <row r="123" spans="11:14" ht="16.5" customHeight="1">
      <c r="K123" s="15"/>
      <c r="L123" s="20"/>
      <c r="M123" s="44"/>
      <c r="N123" s="45"/>
    </row>
    <row r="124" spans="11:14" ht="16.5" customHeight="1">
      <c r="K124" s="54"/>
      <c r="L124" s="16"/>
      <c r="M124" s="55"/>
      <c r="N124" s="56"/>
    </row>
    <row r="125" spans="11:14" ht="16.5" customHeight="1">
      <c r="K125" s="53"/>
      <c r="L125" s="17"/>
      <c r="M125" s="42"/>
      <c r="N125" s="43"/>
    </row>
    <row r="126" spans="11:14" ht="16.5" customHeight="1">
      <c r="K126" s="53"/>
      <c r="L126" s="17"/>
      <c r="M126" s="42"/>
      <c r="N126" s="43"/>
    </row>
    <row r="127" spans="11:14" ht="16.5" customHeight="1">
      <c r="K127" s="11"/>
      <c r="L127" s="17"/>
      <c r="M127" s="42"/>
      <c r="N127" s="43"/>
    </row>
    <row r="128" spans="11:14" ht="16.5" customHeight="1">
      <c r="K128" s="11"/>
      <c r="L128" s="17"/>
      <c r="M128" s="42"/>
      <c r="N128" s="43"/>
    </row>
    <row r="129" spans="11:14" ht="16.5" customHeight="1">
      <c r="K129" s="12"/>
      <c r="L129" s="18"/>
      <c r="M129" s="46"/>
      <c r="N129" s="47"/>
    </row>
    <row r="130" spans="11:14" ht="16.5" customHeight="1">
      <c r="K130" s="52"/>
      <c r="L130" s="16"/>
      <c r="M130" s="50"/>
      <c r="N130" s="51"/>
    </row>
    <row r="131" spans="11:14" ht="16.5" customHeight="1">
      <c r="K131" s="53"/>
      <c r="L131" s="17"/>
      <c r="M131" s="42"/>
      <c r="N131" s="43"/>
    </row>
    <row r="132" spans="11:14" ht="16.5" customHeight="1">
      <c r="K132" s="53"/>
      <c r="L132" s="17"/>
      <c r="M132" s="42"/>
      <c r="N132" s="43"/>
    </row>
    <row r="133" spans="11:14" ht="16.5" customHeight="1">
      <c r="K133" s="11"/>
      <c r="L133" s="17"/>
      <c r="M133" s="42"/>
      <c r="N133" s="43"/>
    </row>
    <row r="134" spans="11:14" ht="16.5" customHeight="1">
      <c r="K134" s="11"/>
      <c r="L134" s="17"/>
      <c r="M134" s="42"/>
      <c r="N134" s="43"/>
    </row>
    <row r="135" spans="11:14" ht="16.5" customHeight="1">
      <c r="K135" s="13"/>
      <c r="L135" s="19"/>
      <c r="M135" s="46"/>
      <c r="N135" s="47"/>
    </row>
    <row r="136" spans="11:14" ht="16.5" customHeight="1">
      <c r="K136" s="48"/>
      <c r="L136" s="16"/>
      <c r="M136" s="50"/>
      <c r="N136" s="51"/>
    </row>
    <row r="137" spans="11:14" ht="16.5" customHeight="1">
      <c r="K137" s="49"/>
      <c r="L137" s="17"/>
      <c r="M137" s="42"/>
      <c r="N137" s="43"/>
    </row>
    <row r="138" spans="11:14" ht="16.5" customHeight="1">
      <c r="K138" s="49"/>
      <c r="L138" s="17"/>
      <c r="M138" s="42"/>
      <c r="N138" s="43"/>
    </row>
    <row r="139" spans="11:14" ht="16.5" customHeight="1">
      <c r="K139" s="11"/>
      <c r="L139" s="17"/>
      <c r="M139" s="42"/>
      <c r="N139" s="43"/>
    </row>
    <row r="140" spans="11:14" ht="16.5" customHeight="1">
      <c r="K140" s="11"/>
      <c r="L140" s="17"/>
      <c r="M140" s="42"/>
      <c r="N140" s="43"/>
    </row>
    <row r="141" spans="11:14" ht="16.5" customHeight="1">
      <c r="K141" s="13"/>
      <c r="L141" s="19"/>
      <c r="M141" s="46"/>
      <c r="N141" s="47"/>
    </row>
    <row r="142" spans="11:14" ht="16.5" customHeight="1">
      <c r="K142" s="48"/>
      <c r="L142" s="16"/>
      <c r="M142" s="50"/>
      <c r="N142" s="51"/>
    </row>
    <row r="143" spans="11:14" ht="16.5" customHeight="1">
      <c r="K143" s="49"/>
      <c r="L143" s="17"/>
      <c r="M143" s="42"/>
      <c r="N143" s="43"/>
    </row>
    <row r="144" spans="11:14" ht="16.5" customHeight="1">
      <c r="K144" s="49"/>
      <c r="L144" s="17"/>
      <c r="M144" s="42"/>
      <c r="N144" s="43"/>
    </row>
    <row r="145" spans="11:14" ht="16.5" customHeight="1">
      <c r="K145" s="49"/>
      <c r="L145" s="17"/>
      <c r="M145" s="42"/>
      <c r="N145" s="43"/>
    </row>
    <row r="146" spans="11:14" ht="16.5" customHeight="1">
      <c r="K146" s="11"/>
      <c r="L146" s="17"/>
      <c r="M146" s="42"/>
      <c r="N146" s="43"/>
    </row>
    <row r="147" spans="11:14" ht="16.5" customHeight="1">
      <c r="K147" s="13"/>
      <c r="L147" s="19"/>
      <c r="M147" s="46"/>
      <c r="N147" s="47"/>
    </row>
    <row r="148" spans="11:14" ht="16.5" customHeight="1">
      <c r="K148" s="52"/>
      <c r="L148" s="16"/>
      <c r="M148" s="50"/>
      <c r="N148" s="51"/>
    </row>
    <row r="149" spans="11:14" ht="16.5" customHeight="1">
      <c r="K149" s="53"/>
      <c r="L149" s="17"/>
      <c r="M149" s="42"/>
      <c r="N149" s="43"/>
    </row>
    <row r="150" spans="11:14" ht="16.5" customHeight="1">
      <c r="K150" s="53"/>
      <c r="L150" s="17"/>
      <c r="M150" s="42"/>
      <c r="N150" s="43"/>
    </row>
    <row r="151" spans="11:14" ht="16.5" customHeight="1">
      <c r="K151" s="14"/>
      <c r="L151" s="17"/>
      <c r="M151" s="42"/>
      <c r="N151" s="43"/>
    </row>
    <row r="152" spans="11:14" ht="16.5" customHeight="1">
      <c r="K152" s="14"/>
      <c r="L152" s="17"/>
      <c r="M152" s="42"/>
      <c r="N152" s="43"/>
    </row>
    <row r="153" spans="11:14" ht="16.5" customHeight="1">
      <c r="K153" s="15"/>
      <c r="L153" s="20"/>
      <c r="M153" s="44"/>
      <c r="N153" s="45"/>
    </row>
  </sheetData>
  <mergeCells count="252">
    <mergeCell ref="E24:F24"/>
    <mergeCell ref="M21:N21"/>
    <mergeCell ref="M22:N22"/>
    <mergeCell ref="M23:N23"/>
    <mergeCell ref="M24:N24"/>
    <mergeCell ref="M25:N25"/>
    <mergeCell ref="G24:H24"/>
    <mergeCell ref="I24:J24"/>
    <mergeCell ref="G25:H25"/>
    <mergeCell ref="C29:D29"/>
    <mergeCell ref="C24:D24"/>
    <mergeCell ref="C25:D25"/>
    <mergeCell ref="C26:D26"/>
    <mergeCell ref="C27:D27"/>
    <mergeCell ref="E30:F30"/>
    <mergeCell ref="E29:F29"/>
    <mergeCell ref="E27:F27"/>
    <mergeCell ref="E26:F26"/>
    <mergeCell ref="E25:F25"/>
    <mergeCell ref="G30:H30"/>
    <mergeCell ref="I30:J30"/>
    <mergeCell ref="B31:J33"/>
    <mergeCell ref="M27:N27"/>
    <mergeCell ref="M28:N28"/>
    <mergeCell ref="M29:N29"/>
    <mergeCell ref="M30:N30"/>
    <mergeCell ref="C28:D28"/>
    <mergeCell ref="E28:F28"/>
    <mergeCell ref="I27:J27"/>
    <mergeCell ref="C13:D13"/>
    <mergeCell ref="E17:F17"/>
    <mergeCell ref="E16:F16"/>
    <mergeCell ref="E15:F15"/>
    <mergeCell ref="E14:F14"/>
    <mergeCell ref="C19:D19"/>
    <mergeCell ref="E13:F13"/>
    <mergeCell ref="C14:D14"/>
    <mergeCell ref="C15:D15"/>
    <mergeCell ref="I16:J16"/>
    <mergeCell ref="G20:H20"/>
    <mergeCell ref="G21:H21"/>
    <mergeCell ref="C16:D16"/>
    <mergeCell ref="C17:D17"/>
    <mergeCell ref="C18:D18"/>
    <mergeCell ref="E18:F18"/>
    <mergeCell ref="C21:D21"/>
    <mergeCell ref="C20:D20"/>
    <mergeCell ref="I26:J26"/>
    <mergeCell ref="I23:J23"/>
    <mergeCell ref="G22:H22"/>
    <mergeCell ref="G23:H23"/>
    <mergeCell ref="B2:B10"/>
    <mergeCell ref="B11:J12"/>
    <mergeCell ref="I20:J20"/>
    <mergeCell ref="I21:J21"/>
    <mergeCell ref="G14:H14"/>
    <mergeCell ref="I14:J14"/>
    <mergeCell ref="C22:D22"/>
    <mergeCell ref="C23:D23"/>
    <mergeCell ref="E20:F20"/>
    <mergeCell ref="E19:F19"/>
    <mergeCell ref="I29:J29"/>
    <mergeCell ref="K28:K30"/>
    <mergeCell ref="I22:J22"/>
    <mergeCell ref="G26:H26"/>
    <mergeCell ref="G27:H27"/>
    <mergeCell ref="I25:J25"/>
    <mergeCell ref="I13:J13"/>
    <mergeCell ref="G13:H13"/>
    <mergeCell ref="I19:J19"/>
    <mergeCell ref="I17:J17"/>
    <mergeCell ref="G18:H18"/>
    <mergeCell ref="I18:J18"/>
    <mergeCell ref="G19:H19"/>
    <mergeCell ref="G15:H15"/>
    <mergeCell ref="I15:J15"/>
    <mergeCell ref="G17:H17"/>
    <mergeCell ref="M11:N11"/>
    <mergeCell ref="N2:N3"/>
    <mergeCell ref="M12:N12"/>
    <mergeCell ref="K16:K18"/>
    <mergeCell ref="K22:K25"/>
    <mergeCell ref="C30:D30"/>
    <mergeCell ref="M13:N13"/>
    <mergeCell ref="G28:H28"/>
    <mergeCell ref="G29:H29"/>
    <mergeCell ref="I28:J28"/>
    <mergeCell ref="K2:M3"/>
    <mergeCell ref="K10:K12"/>
    <mergeCell ref="K4:K6"/>
    <mergeCell ref="M4:N4"/>
    <mergeCell ref="M5:N5"/>
    <mergeCell ref="M6:N6"/>
    <mergeCell ref="M7:N7"/>
    <mergeCell ref="M8:N8"/>
    <mergeCell ref="M9:N9"/>
    <mergeCell ref="M10:N10"/>
    <mergeCell ref="M14:N14"/>
    <mergeCell ref="M15:N15"/>
    <mergeCell ref="M16:N16"/>
    <mergeCell ref="M17:N17"/>
    <mergeCell ref="M18:N18"/>
    <mergeCell ref="M19:N19"/>
    <mergeCell ref="M20:N20"/>
    <mergeCell ref="G16:H16"/>
    <mergeCell ref="M40:N40"/>
    <mergeCell ref="M41:N41"/>
    <mergeCell ref="M42:N42"/>
    <mergeCell ref="E23:F23"/>
    <mergeCell ref="E22:F22"/>
    <mergeCell ref="E21:F21"/>
    <mergeCell ref="M31:N31"/>
    <mergeCell ref="M32:N32"/>
    <mergeCell ref="M33:N33"/>
    <mergeCell ref="M26:N26"/>
    <mergeCell ref="M49:N49"/>
    <mergeCell ref="M50:N50"/>
    <mergeCell ref="K34:K36"/>
    <mergeCell ref="M34:N34"/>
    <mergeCell ref="M35:N35"/>
    <mergeCell ref="M36:N36"/>
    <mergeCell ref="M37:N37"/>
    <mergeCell ref="M38:N38"/>
    <mergeCell ref="M39:N39"/>
    <mergeCell ref="K40:K42"/>
    <mergeCell ref="M43:N43"/>
    <mergeCell ref="M44:N44"/>
    <mergeCell ref="M45:N45"/>
    <mergeCell ref="K46:K48"/>
    <mergeCell ref="M46:N46"/>
    <mergeCell ref="M47:N47"/>
    <mergeCell ref="M48:N48"/>
    <mergeCell ref="M56:N56"/>
    <mergeCell ref="M57:N57"/>
    <mergeCell ref="K58:K60"/>
    <mergeCell ref="M58:N58"/>
    <mergeCell ref="M59:N59"/>
    <mergeCell ref="M60:N60"/>
    <mergeCell ref="M65:N65"/>
    <mergeCell ref="M66:N66"/>
    <mergeCell ref="M67:N67"/>
    <mergeCell ref="M68:N68"/>
    <mergeCell ref="M51:N51"/>
    <mergeCell ref="K52:K55"/>
    <mergeCell ref="M52:N52"/>
    <mergeCell ref="M53:N53"/>
    <mergeCell ref="M54:N54"/>
    <mergeCell ref="M55:N55"/>
    <mergeCell ref="M75:N75"/>
    <mergeCell ref="K76:K78"/>
    <mergeCell ref="M76:N76"/>
    <mergeCell ref="M77:N77"/>
    <mergeCell ref="M78:N78"/>
    <mergeCell ref="M61:N61"/>
    <mergeCell ref="M62:N62"/>
    <mergeCell ref="M63:N63"/>
    <mergeCell ref="K64:K66"/>
    <mergeCell ref="M64:N64"/>
    <mergeCell ref="M84:N84"/>
    <mergeCell ref="M85:N85"/>
    <mergeCell ref="M86:N86"/>
    <mergeCell ref="M69:N69"/>
    <mergeCell ref="K70:K72"/>
    <mergeCell ref="M70:N70"/>
    <mergeCell ref="M71:N71"/>
    <mergeCell ref="M72:N72"/>
    <mergeCell ref="M73:N73"/>
    <mergeCell ref="M74:N74"/>
    <mergeCell ref="K94:K96"/>
    <mergeCell ref="M94:N94"/>
    <mergeCell ref="M95:N95"/>
    <mergeCell ref="M96:N96"/>
    <mergeCell ref="M79:N79"/>
    <mergeCell ref="M80:N80"/>
    <mergeCell ref="M81:N81"/>
    <mergeCell ref="K82:K85"/>
    <mergeCell ref="M82:N82"/>
    <mergeCell ref="M83:N83"/>
    <mergeCell ref="M103:N103"/>
    <mergeCell ref="M104:N104"/>
    <mergeCell ref="M87:N87"/>
    <mergeCell ref="K88:K90"/>
    <mergeCell ref="M88:N88"/>
    <mergeCell ref="M89:N89"/>
    <mergeCell ref="M90:N90"/>
    <mergeCell ref="M91:N91"/>
    <mergeCell ref="M92:N92"/>
    <mergeCell ref="M93:N93"/>
    <mergeCell ref="M97:N97"/>
    <mergeCell ref="M98:N98"/>
    <mergeCell ref="M99:N99"/>
    <mergeCell ref="K100:K102"/>
    <mergeCell ref="M100:N100"/>
    <mergeCell ref="M101:N101"/>
    <mergeCell ref="M102:N102"/>
    <mergeCell ref="M110:N110"/>
    <mergeCell ref="M111:N111"/>
    <mergeCell ref="K112:K115"/>
    <mergeCell ref="M112:N112"/>
    <mergeCell ref="M113:N113"/>
    <mergeCell ref="M114:N114"/>
    <mergeCell ref="M115:N115"/>
    <mergeCell ref="M120:N120"/>
    <mergeCell ref="M121:N121"/>
    <mergeCell ref="M122:N122"/>
    <mergeCell ref="M123:N123"/>
    <mergeCell ref="M105:N105"/>
    <mergeCell ref="K106:K108"/>
    <mergeCell ref="M106:N106"/>
    <mergeCell ref="M107:N107"/>
    <mergeCell ref="M108:N108"/>
    <mergeCell ref="M109:N109"/>
    <mergeCell ref="M129:N129"/>
    <mergeCell ref="K130:K132"/>
    <mergeCell ref="M130:N130"/>
    <mergeCell ref="M131:N131"/>
    <mergeCell ref="M132:N132"/>
    <mergeCell ref="M116:N116"/>
    <mergeCell ref="M117:N117"/>
    <mergeCell ref="K118:K120"/>
    <mergeCell ref="M118:N118"/>
    <mergeCell ref="M119:N119"/>
    <mergeCell ref="M137:N137"/>
    <mergeCell ref="M138:N138"/>
    <mergeCell ref="M139:N139"/>
    <mergeCell ref="M140:N140"/>
    <mergeCell ref="K124:K126"/>
    <mergeCell ref="M124:N124"/>
    <mergeCell ref="M125:N125"/>
    <mergeCell ref="M126:N126"/>
    <mergeCell ref="M127:N127"/>
    <mergeCell ref="M128:N128"/>
    <mergeCell ref="M147:N147"/>
    <mergeCell ref="K148:K150"/>
    <mergeCell ref="M148:N148"/>
    <mergeCell ref="M149:N149"/>
    <mergeCell ref="M150:N150"/>
    <mergeCell ref="M133:N133"/>
    <mergeCell ref="M134:N134"/>
    <mergeCell ref="M135:N135"/>
    <mergeCell ref="K136:K138"/>
    <mergeCell ref="M136:N136"/>
    <mergeCell ref="M151:N151"/>
    <mergeCell ref="M152:N152"/>
    <mergeCell ref="M153:N153"/>
    <mergeCell ref="M141:N141"/>
    <mergeCell ref="K142:K145"/>
    <mergeCell ref="M142:N142"/>
    <mergeCell ref="M143:N143"/>
    <mergeCell ref="M144:N144"/>
    <mergeCell ref="M145:N145"/>
    <mergeCell ref="M146:N146"/>
  </mergeCells>
  <phoneticPr fontId="1" type="noConversion"/>
  <conditionalFormatting sqref="C4:H4">
    <cfRule type="expression" dxfId="74" priority="8" stopIfTrue="1">
      <formula>DAY(C4)&gt;8</formula>
    </cfRule>
  </conditionalFormatting>
  <conditionalFormatting sqref="C8:I10">
    <cfRule type="expression" dxfId="73" priority="7" stopIfTrue="1">
      <formula>AND(DAY(C8)&gt;=1,DAY(C8)&lt;=15)</formula>
    </cfRule>
  </conditionalFormatting>
  <conditionalFormatting sqref="C4:I9">
    <cfRule type="expression" dxfId="72" priority="19">
      <formula>VLOOKUP(DAY(C4),DíasDeTareas,1,FALSE)=DAY(C4)</formula>
    </cfRule>
  </conditionalFormatting>
  <conditionalFormatting sqref="B14:J29 B34:J34">
    <cfRule type="expression" dxfId="71" priority="5">
      <formula>B14&lt;&gt;""</formula>
    </cfRule>
  </conditionalFormatting>
  <conditionalFormatting sqref="B30:J30">
    <cfRule type="expression" dxfId="70" priority="3">
      <formula>B30&lt;&gt;""</formula>
    </cfRule>
  </conditionalFormatting>
  <conditionalFormatting sqref="B31">
    <cfRule type="expression" dxfId="69" priority="2">
      <formula>B31&lt;&gt;""</formula>
    </cfRule>
  </conditionalFormatting>
  <conditionalFormatting sqref="B31">
    <cfRule type="expression" dxfId="68" priority="1">
      <formula>B31&lt;&gt;""</formula>
    </cfRule>
  </conditionalFormatting>
  <dataValidations disablePrompts="1" count="1">
    <dataValidation allowBlank="1" showInputMessage="1" showErrorMessage="1" errorTitle="Invalid Year" error="Enter a year from 1900 to 9999, or use the scroll bar to find a year." sqref="N2"/>
  </dataValidations>
  <printOptions horizontalCentered="1"/>
  <pageMargins left="0.5" right="0.5" top="0.5" bottom="0.5" header="0.3" footer="0.3"/>
  <pageSetup scale="63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O33"/>
  <sheetViews>
    <sheetView showGridLines="0" zoomScale="85" zoomScaleNormal="85" zoomScalePageLayoutView="84" workbookViewId="0">
      <selection activeCell="M30" sqref="M29:N30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83" t="s">
        <v>17</v>
      </c>
      <c r="C2" s="21"/>
      <c r="D2" s="21"/>
      <c r="E2" s="21"/>
      <c r="F2" s="21"/>
      <c r="G2" s="21"/>
      <c r="H2" s="21"/>
      <c r="I2" s="21"/>
      <c r="J2" s="22"/>
      <c r="K2" s="67" t="s">
        <v>2</v>
      </c>
      <c r="L2" s="68">
        <v>2013</v>
      </c>
      <c r="M2" s="68"/>
      <c r="N2" s="25"/>
    </row>
    <row r="3" spans="1:14" ht="21" customHeight="1">
      <c r="A3" s="4"/>
      <c r="B3" s="84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69"/>
      <c r="L3" s="70"/>
      <c r="M3" s="70"/>
      <c r="N3" s="26"/>
    </row>
    <row r="4" spans="1:14" ht="18" customHeight="1">
      <c r="A4" s="4"/>
      <c r="B4" s="84"/>
      <c r="C4" s="10">
        <f>IF(DAY(OctDom1)=1,OctDom1-6,OctDom1+1)</f>
        <v>44466</v>
      </c>
      <c r="D4" s="10">
        <f>IF(DAY(OctDom1)=1,OctDom1-5,OctDom1+2)</f>
        <v>44467</v>
      </c>
      <c r="E4" s="10">
        <f>IF(DAY(OctDom1)=1,OctDom1-4,OctDom1+3)</f>
        <v>44468</v>
      </c>
      <c r="F4" s="10">
        <f>IF(DAY(OctDom1)=1,OctDom1-3,OctDom1+4)</f>
        <v>44469</v>
      </c>
      <c r="G4" s="10">
        <f>IF(DAY(OctDom1)=1,OctDom1-2,OctDom1+5)</f>
        <v>44470</v>
      </c>
      <c r="H4" s="10">
        <f>IF(DAY(OctDom1)=1,OctDom1-1,OctDom1+6)</f>
        <v>44471</v>
      </c>
      <c r="I4" s="10">
        <f>IF(DAY(OctDom1)=1,OctDom1,OctDom1+7)</f>
        <v>44472</v>
      </c>
      <c r="J4" s="5"/>
      <c r="K4" s="54" t="s">
        <v>11</v>
      </c>
      <c r="L4" s="16"/>
      <c r="M4" s="65"/>
      <c r="N4" s="66"/>
    </row>
    <row r="5" spans="1:14" ht="18" customHeight="1">
      <c r="A5" s="4"/>
      <c r="B5" s="84"/>
      <c r="C5" s="10">
        <f>IF(DAY(OctDom1)=1,OctDom1+1,OctDom1+8)</f>
        <v>44473</v>
      </c>
      <c r="D5" s="10">
        <f>IF(DAY(OctDom1)=1,OctDom1+2,OctDom1+9)</f>
        <v>44474</v>
      </c>
      <c r="E5" s="10">
        <f>IF(DAY(OctDom1)=1,OctDom1+3,OctDom1+10)</f>
        <v>44475</v>
      </c>
      <c r="F5" s="10">
        <f>IF(DAY(OctDom1)=1,OctDom1+4,OctDom1+11)</f>
        <v>44476</v>
      </c>
      <c r="G5" s="10">
        <f>IF(DAY(OctDom1)=1,OctDom1+5,OctDom1+12)</f>
        <v>44477</v>
      </c>
      <c r="H5" s="10">
        <f>IF(DAY(OctDom1)=1,OctDom1+6,OctDom1+13)</f>
        <v>44478</v>
      </c>
      <c r="I5" s="10">
        <f>IF(DAY(OctDom1)=1,OctDom1+7,OctDom1+14)</f>
        <v>44479</v>
      </c>
      <c r="J5" s="5"/>
      <c r="K5" s="53"/>
      <c r="L5" s="17"/>
      <c r="M5" s="57"/>
      <c r="N5" s="58"/>
    </row>
    <row r="6" spans="1:14" ht="18" customHeight="1">
      <c r="A6" s="4"/>
      <c r="B6" s="84"/>
      <c r="C6" s="10">
        <f>IF(DAY(OctDom1)=1,OctDom1+8,OctDom1+15)</f>
        <v>44480</v>
      </c>
      <c r="D6" s="10">
        <f>IF(DAY(OctDom1)=1,OctDom1+9,OctDom1+16)</f>
        <v>44481</v>
      </c>
      <c r="E6" s="10">
        <f>IF(DAY(OctDom1)=1,OctDom1+10,OctDom1+17)</f>
        <v>44482</v>
      </c>
      <c r="F6" s="10">
        <f>IF(DAY(OctDom1)=1,OctDom1+11,OctDom1+18)</f>
        <v>44483</v>
      </c>
      <c r="G6" s="10">
        <f>IF(DAY(OctDom1)=1,OctDom1+12,OctDom1+19)</f>
        <v>44484</v>
      </c>
      <c r="H6" s="10">
        <f>IF(DAY(OctDom1)=1,OctDom1+13,OctDom1+20)</f>
        <v>44485</v>
      </c>
      <c r="I6" s="10">
        <f>IF(DAY(OctDom1)=1,OctDom1+14,OctDom1+21)</f>
        <v>44486</v>
      </c>
      <c r="J6" s="5"/>
      <c r="K6" s="53"/>
      <c r="L6" s="17"/>
      <c r="M6" s="57"/>
      <c r="N6" s="58"/>
    </row>
    <row r="7" spans="1:14" ht="18" customHeight="1">
      <c r="A7" s="4"/>
      <c r="B7" s="84"/>
      <c r="C7" s="10">
        <f>IF(DAY(OctDom1)=1,OctDom1+15,OctDom1+22)</f>
        <v>44487</v>
      </c>
      <c r="D7" s="10">
        <f>IF(DAY(OctDom1)=1,OctDom1+16,OctDom1+23)</f>
        <v>44488</v>
      </c>
      <c r="E7" s="10">
        <f>IF(DAY(OctDom1)=1,OctDom1+17,OctDom1+24)</f>
        <v>44489</v>
      </c>
      <c r="F7" s="10">
        <f>IF(DAY(OctDom1)=1,OctDom1+18,OctDom1+25)</f>
        <v>44490</v>
      </c>
      <c r="G7" s="10">
        <f>IF(DAY(OctDom1)=1,OctDom1+19,OctDom1+26)</f>
        <v>44491</v>
      </c>
      <c r="H7" s="10">
        <f>IF(DAY(OctDom1)=1,OctDom1+20,OctDom1+27)</f>
        <v>44492</v>
      </c>
      <c r="I7" s="10">
        <f>IF(DAY(OctDom1)=1,OctDom1+21,OctDom1+28)</f>
        <v>44493</v>
      </c>
      <c r="J7" s="5"/>
      <c r="K7" s="11"/>
      <c r="L7" s="17"/>
      <c r="M7" s="128"/>
      <c r="N7" s="129"/>
    </row>
    <row r="8" spans="1:14" ht="18.75" customHeight="1">
      <c r="A8" s="4"/>
      <c r="B8" s="84"/>
      <c r="C8" s="10">
        <f>IF(DAY(OctDom1)=1,OctDom1+22,OctDom1+29)</f>
        <v>44494</v>
      </c>
      <c r="D8" s="10">
        <f>IF(DAY(OctDom1)=1,OctDom1+23,OctDom1+30)</f>
        <v>44495</v>
      </c>
      <c r="E8" s="10">
        <f>IF(DAY(OctDom1)=1,OctDom1+24,OctDom1+31)</f>
        <v>44496</v>
      </c>
      <c r="F8" s="10">
        <f>IF(DAY(OctDom1)=1,OctDom1+25,OctDom1+32)</f>
        <v>44497</v>
      </c>
      <c r="G8" s="10">
        <f>IF(DAY(OctDom1)=1,OctDom1+26,OctDom1+33)</f>
        <v>44498</v>
      </c>
      <c r="H8" s="10">
        <f>IF(DAY(OctDom1)=1,OctDom1+27,OctDom1+34)</f>
        <v>44499</v>
      </c>
      <c r="I8" s="10">
        <f>IF(DAY(OctDom1)=1,OctDom1+28,OctDom1+35)</f>
        <v>44500</v>
      </c>
      <c r="J8" s="5"/>
      <c r="K8" s="11"/>
      <c r="L8" s="17"/>
      <c r="M8" s="120"/>
      <c r="N8" s="121"/>
    </row>
    <row r="9" spans="1:14" ht="18" customHeight="1">
      <c r="A9" s="4"/>
      <c r="B9" s="84"/>
      <c r="C9" s="10">
        <f>IF(DAY(OctDom1)=1,OctDom1+29,OctDom1+36)</f>
        <v>44501</v>
      </c>
      <c r="D9" s="10">
        <f>IF(DAY(OctDom1)=1,OctDom1+30,OctDom1+37)</f>
        <v>44502</v>
      </c>
      <c r="E9" s="10">
        <f>IF(DAY(OctDom1)=1,OctDom1+31,OctDom1+38)</f>
        <v>44503</v>
      </c>
      <c r="F9" s="10">
        <f>IF(DAY(OctDom1)=1,OctDom1+32,OctDom1+39)</f>
        <v>44504</v>
      </c>
      <c r="G9" s="10">
        <f>IF(DAY(OctDom1)=1,OctDom1+33,OctDom1+40)</f>
        <v>44505</v>
      </c>
      <c r="H9" s="10">
        <f>IF(DAY(OctDom1)=1,OctDom1+34,OctDom1+41)</f>
        <v>44506</v>
      </c>
      <c r="I9" s="10">
        <f>IF(DAY(OctDom1)=1,OctDom1+35,OctDom1+42)</f>
        <v>44507</v>
      </c>
      <c r="J9" s="5"/>
      <c r="K9" s="12"/>
      <c r="L9" s="18"/>
      <c r="M9" s="46"/>
      <c r="N9" s="47"/>
    </row>
    <row r="10" spans="1:14" ht="18" customHeight="1">
      <c r="A10" s="4"/>
      <c r="B10" s="85"/>
      <c r="C10" s="23"/>
      <c r="D10" s="23"/>
      <c r="E10" s="23"/>
      <c r="F10" s="23"/>
      <c r="G10" s="23"/>
      <c r="H10" s="23"/>
      <c r="I10" s="23"/>
      <c r="J10" s="24"/>
      <c r="K10" s="52" t="s">
        <v>12</v>
      </c>
      <c r="L10" s="16"/>
      <c r="M10" s="65"/>
      <c r="N10" s="66"/>
    </row>
    <row r="11" spans="1:14" ht="18" customHeight="1">
      <c r="A11" s="4"/>
      <c r="B11" s="86" t="s">
        <v>10</v>
      </c>
      <c r="C11" s="87"/>
      <c r="D11" s="87"/>
      <c r="E11" s="87"/>
      <c r="F11" s="87"/>
      <c r="G11" s="87"/>
      <c r="H11" s="87"/>
      <c r="I11" s="87"/>
      <c r="J11" s="88"/>
      <c r="K11" s="53"/>
      <c r="L11" s="17"/>
      <c r="M11" s="57"/>
      <c r="N11" s="58"/>
    </row>
    <row r="12" spans="1:14" ht="18" customHeight="1">
      <c r="A12" s="4"/>
      <c r="B12" s="86"/>
      <c r="C12" s="87"/>
      <c r="D12" s="87"/>
      <c r="E12" s="87"/>
      <c r="F12" s="87"/>
      <c r="G12" s="87"/>
      <c r="H12" s="87"/>
      <c r="I12" s="87"/>
      <c r="J12" s="88"/>
      <c r="K12" s="53"/>
      <c r="L12" s="17"/>
      <c r="M12" s="57"/>
      <c r="N12" s="58"/>
    </row>
    <row r="13" spans="1:14" ht="18" customHeight="1">
      <c r="B13" s="3" t="s">
        <v>11</v>
      </c>
      <c r="C13" s="74" t="s">
        <v>12</v>
      </c>
      <c r="D13" s="76"/>
      <c r="E13" s="74" t="s">
        <v>13</v>
      </c>
      <c r="F13" s="76"/>
      <c r="G13" s="74" t="s">
        <v>14</v>
      </c>
      <c r="H13" s="76"/>
      <c r="I13" s="74" t="s">
        <v>15</v>
      </c>
      <c r="J13" s="75"/>
      <c r="K13" s="11"/>
      <c r="L13" s="17"/>
      <c r="M13" s="128"/>
      <c r="N13" s="129"/>
    </row>
    <row r="14" spans="1:14" ht="18" customHeight="1">
      <c r="B14" s="8"/>
      <c r="C14" s="59"/>
      <c r="D14" s="60"/>
      <c r="E14" s="59"/>
      <c r="F14" s="60"/>
      <c r="G14" s="59"/>
      <c r="H14" s="60"/>
      <c r="I14" s="59"/>
      <c r="J14" s="73"/>
      <c r="K14" s="11"/>
      <c r="L14" s="17"/>
      <c r="M14" s="128"/>
      <c r="N14" s="129"/>
    </row>
    <row r="15" spans="1:14" ht="18" customHeight="1">
      <c r="B15" s="6"/>
      <c r="C15" s="61"/>
      <c r="D15" s="62"/>
      <c r="E15" s="61"/>
      <c r="F15" s="62"/>
      <c r="G15" s="61"/>
      <c r="H15" s="62"/>
      <c r="I15" s="77"/>
      <c r="J15" s="78"/>
      <c r="K15" s="13"/>
      <c r="L15" s="19"/>
      <c r="M15" s="46"/>
      <c r="N15" s="47"/>
    </row>
    <row r="16" spans="1:14" ht="18" customHeight="1">
      <c r="B16" s="8"/>
      <c r="C16" s="59"/>
      <c r="D16" s="60"/>
      <c r="E16" s="59"/>
      <c r="F16" s="60"/>
      <c r="G16" s="59"/>
      <c r="H16" s="60"/>
      <c r="I16" s="91"/>
      <c r="J16" s="92"/>
      <c r="K16" s="48" t="s">
        <v>13</v>
      </c>
      <c r="L16" s="16"/>
      <c r="M16" s="65"/>
      <c r="N16" s="66"/>
    </row>
    <row r="17" spans="2:14" ht="18" customHeight="1">
      <c r="B17" s="6"/>
      <c r="C17" s="61"/>
      <c r="D17" s="62"/>
      <c r="E17" s="61"/>
      <c r="F17" s="62"/>
      <c r="G17" s="61"/>
      <c r="H17" s="62"/>
      <c r="I17" s="77"/>
      <c r="J17" s="78"/>
      <c r="K17" s="49"/>
      <c r="L17" s="17"/>
      <c r="M17" s="57"/>
      <c r="N17" s="58"/>
    </row>
    <row r="18" spans="2:14" ht="18" customHeight="1">
      <c r="B18" s="9"/>
      <c r="C18" s="79"/>
      <c r="D18" s="80"/>
      <c r="E18" s="79"/>
      <c r="F18" s="80"/>
      <c r="G18" s="79"/>
      <c r="H18" s="80"/>
      <c r="I18" s="79"/>
      <c r="J18" s="81"/>
      <c r="K18" s="49"/>
      <c r="L18" s="17"/>
      <c r="M18" s="57"/>
      <c r="N18" s="58"/>
    </row>
    <row r="19" spans="2:14" ht="18" customHeight="1">
      <c r="B19" s="6"/>
      <c r="C19" s="61"/>
      <c r="D19" s="62"/>
      <c r="E19" s="61"/>
      <c r="F19" s="62"/>
      <c r="G19" s="61"/>
      <c r="H19" s="62"/>
      <c r="I19" s="77"/>
      <c r="J19" s="78"/>
      <c r="K19" s="11"/>
      <c r="L19" s="17"/>
      <c r="M19" s="128"/>
      <c r="N19" s="129"/>
    </row>
    <row r="20" spans="2:14" ht="18" customHeight="1">
      <c r="B20" s="8"/>
      <c r="C20" s="59"/>
      <c r="D20" s="60"/>
      <c r="E20" s="59"/>
      <c r="F20" s="60"/>
      <c r="G20" s="59"/>
      <c r="H20" s="60"/>
      <c r="I20" s="59"/>
      <c r="J20" s="73"/>
      <c r="K20" s="11"/>
      <c r="L20" s="17"/>
      <c r="M20" s="128"/>
      <c r="N20" s="129"/>
    </row>
    <row r="21" spans="2:14" ht="18" customHeight="1">
      <c r="B21" s="6"/>
      <c r="C21" s="61"/>
      <c r="D21" s="62"/>
      <c r="E21" s="61"/>
      <c r="F21" s="62"/>
      <c r="G21" s="61"/>
      <c r="H21" s="62"/>
      <c r="I21" s="89"/>
      <c r="J21" s="90"/>
      <c r="K21" s="13"/>
      <c r="L21" s="19"/>
      <c r="M21" s="46"/>
      <c r="N21" s="47"/>
    </row>
    <row r="22" spans="2:14" ht="18" customHeight="1">
      <c r="B22" s="8"/>
      <c r="C22" s="59"/>
      <c r="D22" s="60"/>
      <c r="E22" s="59"/>
      <c r="F22" s="60"/>
      <c r="G22" s="59"/>
      <c r="H22" s="60"/>
      <c r="I22" s="59"/>
      <c r="J22" s="73"/>
      <c r="K22" s="48" t="s">
        <v>14</v>
      </c>
      <c r="L22" s="16"/>
      <c r="M22" s="65"/>
      <c r="N22" s="66"/>
    </row>
    <row r="23" spans="2:14" ht="18" customHeight="1">
      <c r="B23" s="6"/>
      <c r="C23" s="61"/>
      <c r="D23" s="62"/>
      <c r="E23" s="61"/>
      <c r="F23" s="62"/>
      <c r="G23" s="61"/>
      <c r="H23" s="62"/>
      <c r="I23" s="77"/>
      <c r="J23" s="78"/>
      <c r="K23" s="49"/>
      <c r="L23" s="17"/>
      <c r="M23" s="57"/>
      <c r="N23" s="58"/>
    </row>
    <row r="24" spans="2:14" ht="18" customHeight="1">
      <c r="B24" s="8"/>
      <c r="C24" s="59"/>
      <c r="D24" s="60"/>
      <c r="E24" s="59"/>
      <c r="F24" s="60"/>
      <c r="G24" s="59"/>
      <c r="H24" s="60"/>
      <c r="I24" s="59"/>
      <c r="J24" s="73"/>
      <c r="K24" s="49"/>
      <c r="L24" s="17"/>
      <c r="M24" s="57"/>
      <c r="N24" s="58"/>
    </row>
    <row r="25" spans="2:14" ht="18" customHeight="1">
      <c r="B25" s="6"/>
      <c r="C25" s="61"/>
      <c r="D25" s="62"/>
      <c r="E25" s="61"/>
      <c r="F25" s="62"/>
      <c r="G25" s="61"/>
      <c r="H25" s="62"/>
      <c r="I25" s="77"/>
      <c r="J25" s="78"/>
      <c r="K25" s="49"/>
      <c r="L25" s="17"/>
      <c r="M25" s="128"/>
      <c r="N25" s="129"/>
    </row>
    <row r="26" spans="2:14" ht="18" customHeight="1">
      <c r="B26" s="8"/>
      <c r="C26" s="59"/>
      <c r="D26" s="60"/>
      <c r="E26" s="59"/>
      <c r="F26" s="60"/>
      <c r="G26" s="59"/>
      <c r="H26" s="60"/>
      <c r="I26" s="59"/>
      <c r="J26" s="73"/>
      <c r="K26" s="11"/>
      <c r="L26" s="17"/>
      <c r="M26" s="128"/>
      <c r="N26" s="129"/>
    </row>
    <row r="27" spans="2:14" ht="18" customHeight="1">
      <c r="B27" s="6"/>
      <c r="C27" s="61"/>
      <c r="D27" s="62"/>
      <c r="E27" s="61"/>
      <c r="F27" s="62"/>
      <c r="G27" s="61"/>
      <c r="H27" s="62"/>
      <c r="I27" s="77"/>
      <c r="J27" s="78"/>
      <c r="K27" s="13"/>
      <c r="L27" s="19"/>
      <c r="M27" s="46"/>
      <c r="N27" s="47"/>
    </row>
    <row r="28" spans="2:14" ht="18" customHeight="1">
      <c r="B28" s="8"/>
      <c r="C28" s="59"/>
      <c r="D28" s="60"/>
      <c r="E28" s="59"/>
      <c r="F28" s="60"/>
      <c r="G28" s="59"/>
      <c r="H28" s="60"/>
      <c r="I28" s="59"/>
      <c r="J28" s="73"/>
      <c r="K28" s="52" t="s">
        <v>15</v>
      </c>
      <c r="L28" s="16"/>
      <c r="M28" s="65"/>
      <c r="N28" s="66"/>
    </row>
    <row r="29" spans="2:14" ht="18" customHeight="1">
      <c r="B29" s="6"/>
      <c r="C29" s="61"/>
      <c r="D29" s="62"/>
      <c r="E29" s="61"/>
      <c r="F29" s="62"/>
      <c r="G29" s="61"/>
      <c r="H29" s="62"/>
      <c r="I29" s="61"/>
      <c r="J29" s="82"/>
      <c r="K29" s="53"/>
      <c r="L29" s="17"/>
      <c r="M29" s="57"/>
      <c r="N29" s="58"/>
    </row>
    <row r="30" spans="2:14" ht="18" customHeight="1">
      <c r="B30" s="93" t="s">
        <v>26</v>
      </c>
      <c r="C30" s="94"/>
      <c r="D30" s="94"/>
      <c r="E30" s="94"/>
      <c r="F30" s="94"/>
      <c r="G30" s="94"/>
      <c r="H30" s="94"/>
      <c r="I30" s="94"/>
      <c r="J30" s="95"/>
      <c r="K30" s="53"/>
      <c r="L30" s="17"/>
      <c r="M30" s="57"/>
      <c r="N30" s="58"/>
    </row>
    <row r="31" spans="2:14" ht="18" customHeight="1">
      <c r="B31" s="96"/>
      <c r="C31" s="97"/>
      <c r="D31" s="97"/>
      <c r="E31" s="97"/>
      <c r="F31" s="97"/>
      <c r="G31" s="97"/>
      <c r="H31" s="97"/>
      <c r="I31" s="97"/>
      <c r="J31" s="98"/>
      <c r="K31" s="14"/>
      <c r="L31" s="17"/>
      <c r="M31" s="128"/>
      <c r="N31" s="129"/>
    </row>
    <row r="32" spans="2:14" ht="18" customHeight="1">
      <c r="B32" s="96"/>
      <c r="C32" s="97"/>
      <c r="D32" s="97"/>
      <c r="E32" s="97"/>
      <c r="F32" s="97"/>
      <c r="G32" s="97"/>
      <c r="H32" s="97"/>
      <c r="I32" s="97"/>
      <c r="J32" s="98"/>
      <c r="K32" s="14"/>
      <c r="L32" s="17"/>
      <c r="M32" s="42"/>
      <c r="N32" s="43"/>
    </row>
    <row r="33" spans="2:14" ht="18" customHeight="1">
      <c r="B33" s="7"/>
      <c r="C33" s="110"/>
      <c r="D33" s="111"/>
      <c r="E33" s="110"/>
      <c r="F33" s="111"/>
      <c r="G33" s="110"/>
      <c r="H33" s="111"/>
      <c r="I33" s="112"/>
      <c r="J33" s="113"/>
      <c r="K33" s="15"/>
      <c r="L33" s="20"/>
      <c r="M33" s="44"/>
      <c r="N33" s="45"/>
    </row>
  </sheetData>
  <mergeCells count="111">
    <mergeCell ref="I29:J29"/>
    <mergeCell ref="M27:N27"/>
    <mergeCell ref="M31:N31"/>
    <mergeCell ref="M32:N32"/>
    <mergeCell ref="B30:J32"/>
    <mergeCell ref="M29:N29"/>
    <mergeCell ref="M30:N30"/>
    <mergeCell ref="M28:N28"/>
    <mergeCell ref="C29:D29"/>
    <mergeCell ref="E29:F29"/>
    <mergeCell ref="G29:H29"/>
    <mergeCell ref="M25:N25"/>
    <mergeCell ref="C26:D26"/>
    <mergeCell ref="E26:F26"/>
    <mergeCell ref="G26:H26"/>
    <mergeCell ref="I26:J26"/>
    <mergeCell ref="K28:K30"/>
    <mergeCell ref="C27:D27"/>
    <mergeCell ref="E27:F27"/>
    <mergeCell ref="G27:H27"/>
    <mergeCell ref="C33:D33"/>
    <mergeCell ref="E33:F33"/>
    <mergeCell ref="G33:H33"/>
    <mergeCell ref="I33:J33"/>
    <mergeCell ref="M33:N33"/>
    <mergeCell ref="G25:H25"/>
    <mergeCell ref="C28:D28"/>
    <mergeCell ref="E28:F28"/>
    <mergeCell ref="G28:H28"/>
    <mergeCell ref="I28:J28"/>
    <mergeCell ref="I27:J27"/>
    <mergeCell ref="I20:J20"/>
    <mergeCell ref="M26:N26"/>
    <mergeCell ref="K22:K25"/>
    <mergeCell ref="C24:D24"/>
    <mergeCell ref="E24:F24"/>
    <mergeCell ref="G24:H24"/>
    <mergeCell ref="I24:J24"/>
    <mergeCell ref="M24:N24"/>
    <mergeCell ref="C25:D25"/>
    <mergeCell ref="E25:F25"/>
    <mergeCell ref="C20:D20"/>
    <mergeCell ref="M20:N20"/>
    <mergeCell ref="I25:J25"/>
    <mergeCell ref="C23:D23"/>
    <mergeCell ref="E23:F23"/>
    <mergeCell ref="G23:H23"/>
    <mergeCell ref="I23:J23"/>
    <mergeCell ref="M23:N23"/>
    <mergeCell ref="E20:F20"/>
    <mergeCell ref="G20:H20"/>
    <mergeCell ref="M22:N22"/>
    <mergeCell ref="C22:D22"/>
    <mergeCell ref="E22:F22"/>
    <mergeCell ref="G22:H22"/>
    <mergeCell ref="I22:J22"/>
    <mergeCell ref="M21:N21"/>
    <mergeCell ref="C21:D21"/>
    <mergeCell ref="E21:F21"/>
    <mergeCell ref="G21:H21"/>
    <mergeCell ref="K16:K18"/>
    <mergeCell ref="I17:J17"/>
    <mergeCell ref="I21:J21"/>
    <mergeCell ref="M19:N19"/>
    <mergeCell ref="C18:D18"/>
    <mergeCell ref="E18:F18"/>
    <mergeCell ref="G18:H18"/>
    <mergeCell ref="I18:J18"/>
    <mergeCell ref="M18:N18"/>
    <mergeCell ref="C19:D19"/>
    <mergeCell ref="G15:H15"/>
    <mergeCell ref="I15:J15"/>
    <mergeCell ref="I19:J19"/>
    <mergeCell ref="C16:D16"/>
    <mergeCell ref="E16:F16"/>
    <mergeCell ref="G16:H16"/>
    <mergeCell ref="I16:J16"/>
    <mergeCell ref="E19:F19"/>
    <mergeCell ref="G19:H19"/>
    <mergeCell ref="M15:N15"/>
    <mergeCell ref="M6:N6"/>
    <mergeCell ref="M7:N7"/>
    <mergeCell ref="M8:N8"/>
    <mergeCell ref="M9:N9"/>
    <mergeCell ref="K10:K12"/>
    <mergeCell ref="M4:N4"/>
    <mergeCell ref="M10:N10"/>
    <mergeCell ref="B11:J12"/>
    <mergeCell ref="M5:N5"/>
    <mergeCell ref="B2:B10"/>
    <mergeCell ref="M11:N11"/>
    <mergeCell ref="G13:H13"/>
    <mergeCell ref="I13:J13"/>
    <mergeCell ref="M13:N13"/>
    <mergeCell ref="C15:D15"/>
    <mergeCell ref="E15:F15"/>
    <mergeCell ref="K2:M3"/>
    <mergeCell ref="K4:K6"/>
    <mergeCell ref="M12:N12"/>
    <mergeCell ref="C13:D13"/>
    <mergeCell ref="E13:F13"/>
    <mergeCell ref="C14:D14"/>
    <mergeCell ref="E14:F14"/>
    <mergeCell ref="G14:H14"/>
    <mergeCell ref="I14:J14"/>
    <mergeCell ref="M14:N14"/>
    <mergeCell ref="M17:N17"/>
    <mergeCell ref="M16:N16"/>
    <mergeCell ref="C17:D17"/>
    <mergeCell ref="E17:F17"/>
    <mergeCell ref="G17:H17"/>
  </mergeCells>
  <conditionalFormatting sqref="C4:H4">
    <cfRule type="expression" dxfId="17" priority="5" stopIfTrue="1">
      <formula>DAY(C4)&gt;8</formula>
    </cfRule>
  </conditionalFormatting>
  <conditionalFormatting sqref="C8:I10">
    <cfRule type="expression" dxfId="16" priority="4" stopIfTrue="1">
      <formula>AND(DAY(C8)&gt;=1,DAY(C8)&lt;=15)</formula>
    </cfRule>
  </conditionalFormatting>
  <conditionalFormatting sqref="C4:I9">
    <cfRule type="expression" dxfId="15" priority="6">
      <formula>VLOOKUP(DAY(C4),DíasDeTareas,1,FALSE)=DAY(C4)</formula>
    </cfRule>
  </conditionalFormatting>
  <conditionalFormatting sqref="B14:J29 B33:J33">
    <cfRule type="expression" dxfId="14" priority="3">
      <formula>B14&lt;&gt;""</formula>
    </cfRule>
  </conditionalFormatting>
  <conditionalFormatting sqref="B30">
    <cfRule type="expression" dxfId="13" priority="2">
      <formula>B30&lt;&gt;""</formula>
    </cfRule>
  </conditionalFormatting>
  <conditionalFormatting sqref="B30">
    <cfRule type="expression" dxfId="12" priority="1">
      <formula>B30&lt;&gt;""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O33"/>
  <sheetViews>
    <sheetView showGridLines="0" zoomScaleNormal="100" zoomScalePageLayoutView="84" workbookViewId="0">
      <selection activeCell="Q26" sqref="Q26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83" t="s">
        <v>16</v>
      </c>
      <c r="C2" s="21"/>
      <c r="D2" s="21"/>
      <c r="E2" s="21"/>
      <c r="F2" s="21"/>
      <c r="G2" s="21"/>
      <c r="H2" s="21"/>
      <c r="I2" s="21"/>
      <c r="J2" s="22"/>
      <c r="K2" s="67" t="s">
        <v>2</v>
      </c>
      <c r="L2" s="68">
        <v>2013</v>
      </c>
      <c r="M2" s="68"/>
      <c r="N2" s="25"/>
    </row>
    <row r="3" spans="1:14" ht="21" customHeight="1">
      <c r="A3" s="4"/>
      <c r="B3" s="84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69"/>
      <c r="L3" s="70"/>
      <c r="M3" s="70"/>
      <c r="N3" s="26"/>
    </row>
    <row r="4" spans="1:14" ht="18" customHeight="1">
      <c r="A4" s="4"/>
      <c r="B4" s="84"/>
      <c r="C4" s="10">
        <f>IF(DAY(NovDom1)=1,NovDom1-6,NovDom1+1)</f>
        <v>44501</v>
      </c>
      <c r="D4" s="10">
        <f>IF(DAY(NovDom1)=1,NovDom1-5,NovDom1+2)</f>
        <v>44502</v>
      </c>
      <c r="E4" s="10">
        <f>IF(DAY(NovDom1)=1,NovDom1-4,NovDom1+3)</f>
        <v>44503</v>
      </c>
      <c r="F4" s="10">
        <f>IF(DAY(NovDom1)=1,NovDom1-3,NovDom1+4)</f>
        <v>44504</v>
      </c>
      <c r="G4" s="10">
        <f>IF(DAY(NovDom1)=1,NovDom1-2,NovDom1+5)</f>
        <v>44505</v>
      </c>
      <c r="H4" s="10">
        <f>IF(DAY(NovDom1)=1,NovDom1-1,NovDom1+6)</f>
        <v>44506</v>
      </c>
      <c r="I4" s="10">
        <f>IF(DAY(NovDom1)=1,NovDom1,NovDom1+7)</f>
        <v>44507</v>
      </c>
      <c r="J4" s="5"/>
      <c r="K4" s="54" t="s">
        <v>11</v>
      </c>
      <c r="L4" s="16">
        <v>2</v>
      </c>
      <c r="M4" s="65" t="s">
        <v>31</v>
      </c>
      <c r="N4" s="66"/>
    </row>
    <row r="5" spans="1:14" ht="18" customHeight="1">
      <c r="A5" s="4"/>
      <c r="B5" s="84"/>
      <c r="C5" s="10">
        <f>IF(DAY(NovDom1)=1,NovDom1+1,NovDom1+8)</f>
        <v>44508</v>
      </c>
      <c r="D5" s="10">
        <f>IF(DAY(NovDom1)=1,NovDom1+2,NovDom1+9)</f>
        <v>44509</v>
      </c>
      <c r="E5" s="10">
        <f>IF(DAY(NovDom1)=1,NovDom1+3,NovDom1+10)</f>
        <v>44510</v>
      </c>
      <c r="F5" s="10">
        <f>IF(DAY(NovDom1)=1,NovDom1+4,NovDom1+11)</f>
        <v>44511</v>
      </c>
      <c r="G5" s="10">
        <f>IF(DAY(NovDom1)=1,NovDom1+5,NovDom1+12)</f>
        <v>44512</v>
      </c>
      <c r="H5" s="10">
        <f>IF(DAY(NovDom1)=1,NovDom1+6,NovDom1+13)</f>
        <v>44513</v>
      </c>
      <c r="I5" s="10">
        <f>IF(DAY(NovDom1)=1,NovDom1+7,NovDom1+14)</f>
        <v>44514</v>
      </c>
      <c r="J5" s="5"/>
      <c r="K5" s="53"/>
      <c r="L5" s="17">
        <v>9</v>
      </c>
      <c r="M5" s="57" t="s">
        <v>33</v>
      </c>
      <c r="N5" s="58"/>
    </row>
    <row r="6" spans="1:14" ht="18" customHeight="1">
      <c r="A6" s="4"/>
      <c r="B6" s="84"/>
      <c r="C6" s="10">
        <f>IF(DAY(NovDom1)=1,NovDom1+8,NovDom1+15)</f>
        <v>44515</v>
      </c>
      <c r="D6" s="10">
        <f>IF(DAY(NovDom1)=1,NovDom1+9,NovDom1+16)</f>
        <v>44516</v>
      </c>
      <c r="E6" s="10">
        <f>IF(DAY(NovDom1)=1,NovDom1+10,NovDom1+17)</f>
        <v>44517</v>
      </c>
      <c r="F6" s="10">
        <f>IF(DAY(NovDom1)=1,NovDom1+11,NovDom1+18)</f>
        <v>44518</v>
      </c>
      <c r="G6" s="10">
        <f>IF(DAY(NovDom1)=1,NovDom1+12,NovDom1+19)</f>
        <v>44519</v>
      </c>
      <c r="H6" s="10">
        <f>IF(DAY(NovDom1)=1,NovDom1+13,NovDom1+20)</f>
        <v>44520</v>
      </c>
      <c r="I6" s="10">
        <f>IF(DAY(NovDom1)=1,NovDom1+14,NovDom1+21)</f>
        <v>44521</v>
      </c>
      <c r="J6" s="5"/>
      <c r="K6" s="53"/>
      <c r="L6" s="17">
        <v>23</v>
      </c>
      <c r="M6" s="57" t="s">
        <v>32</v>
      </c>
      <c r="N6" s="58"/>
    </row>
    <row r="7" spans="1:14" ht="18" customHeight="1">
      <c r="A7" s="4"/>
      <c r="B7" s="84"/>
      <c r="C7" s="10">
        <f>IF(DAY(NovDom1)=1,NovDom1+15,NovDom1+22)</f>
        <v>44522</v>
      </c>
      <c r="D7" s="10">
        <f>IF(DAY(NovDom1)=1,NovDom1+16,NovDom1+23)</f>
        <v>44523</v>
      </c>
      <c r="E7" s="10">
        <f>IF(DAY(NovDom1)=1,NovDom1+17,NovDom1+24)</f>
        <v>44524</v>
      </c>
      <c r="F7" s="10">
        <f>IF(DAY(NovDom1)=1,NovDom1+18,NovDom1+25)</f>
        <v>44525</v>
      </c>
      <c r="G7" s="10">
        <f>IF(DAY(NovDom1)=1,NovDom1+19,NovDom1+26)</f>
        <v>44526</v>
      </c>
      <c r="H7" s="10">
        <f>IF(DAY(NovDom1)=1,NovDom1+20,NovDom1+27)</f>
        <v>44527</v>
      </c>
      <c r="I7" s="10">
        <f>IF(DAY(NovDom1)=1,NovDom1+21,NovDom1+28)</f>
        <v>44528</v>
      </c>
      <c r="J7" s="5"/>
      <c r="K7" s="11"/>
      <c r="L7" s="17">
        <v>30</v>
      </c>
      <c r="M7" s="42"/>
      <c r="N7" s="43"/>
    </row>
    <row r="8" spans="1:14" ht="18.75" customHeight="1">
      <c r="A8" s="4"/>
      <c r="B8" s="84"/>
      <c r="C8" s="10">
        <f>IF(DAY(NovDom1)=1,NovDom1+22,NovDom1+29)</f>
        <v>44529</v>
      </c>
      <c r="D8" s="10">
        <f>IF(DAY(NovDom1)=1,NovDom1+23,NovDom1+30)</f>
        <v>44530</v>
      </c>
      <c r="E8" s="10">
        <f>IF(DAY(NovDom1)=1,NovDom1+24,NovDom1+31)</f>
        <v>44531</v>
      </c>
      <c r="F8" s="10">
        <f>IF(DAY(NovDom1)=1,NovDom1+25,NovDom1+32)</f>
        <v>44532</v>
      </c>
      <c r="G8" s="10">
        <f>IF(DAY(NovDom1)=1,NovDom1+26,NovDom1+33)</f>
        <v>44533</v>
      </c>
      <c r="H8" s="10">
        <f>IF(DAY(NovDom1)=1,NovDom1+27,NovDom1+34)</f>
        <v>44534</v>
      </c>
      <c r="I8" s="10">
        <f>IF(DAY(NovDom1)=1,NovDom1+28,NovDom1+35)</f>
        <v>44535</v>
      </c>
      <c r="J8" s="5"/>
      <c r="K8" s="11"/>
      <c r="L8" s="17"/>
      <c r="M8" s="42"/>
      <c r="N8" s="43"/>
    </row>
    <row r="9" spans="1:14" ht="18" customHeight="1">
      <c r="A9" s="4"/>
      <c r="B9" s="84"/>
      <c r="C9" s="10">
        <f>IF(DAY(NovDom1)=1,NovDom1+29,NovDom1+36)</f>
        <v>44536</v>
      </c>
      <c r="D9" s="10">
        <f>IF(DAY(NovDom1)=1,NovDom1+30,NovDom1+37)</f>
        <v>44537</v>
      </c>
      <c r="E9" s="10">
        <f>IF(DAY(NovDom1)=1,NovDom1+31,NovDom1+38)</f>
        <v>44538</v>
      </c>
      <c r="F9" s="10">
        <f>IF(DAY(NovDom1)=1,NovDom1+32,NovDom1+39)</f>
        <v>44539</v>
      </c>
      <c r="G9" s="10">
        <f>IF(DAY(NovDom1)=1,NovDom1+33,NovDom1+40)</f>
        <v>44540</v>
      </c>
      <c r="H9" s="10">
        <f>IF(DAY(NovDom1)=1,NovDom1+34,NovDom1+41)</f>
        <v>44541</v>
      </c>
      <c r="I9" s="10">
        <f>IF(DAY(NovDom1)=1,NovDom1+35,NovDom1+42)</f>
        <v>44542</v>
      </c>
      <c r="J9" s="5"/>
      <c r="K9" s="12"/>
      <c r="L9" s="18"/>
      <c r="M9" s="46"/>
      <c r="N9" s="47"/>
    </row>
    <row r="10" spans="1:14" ht="18" customHeight="1">
      <c r="A10" s="4"/>
      <c r="B10" s="85"/>
      <c r="C10" s="23"/>
      <c r="D10" s="23"/>
      <c r="E10" s="23"/>
      <c r="F10" s="23"/>
      <c r="G10" s="23"/>
      <c r="H10" s="23"/>
      <c r="I10" s="23"/>
      <c r="J10" s="24"/>
      <c r="K10" s="52" t="s">
        <v>12</v>
      </c>
      <c r="L10" s="16">
        <v>3</v>
      </c>
      <c r="M10" s="65" t="s">
        <v>31</v>
      </c>
      <c r="N10" s="66"/>
    </row>
    <row r="11" spans="1:14" ht="18" customHeight="1">
      <c r="A11" s="4"/>
      <c r="B11" s="86" t="s">
        <v>10</v>
      </c>
      <c r="C11" s="87"/>
      <c r="D11" s="87"/>
      <c r="E11" s="87"/>
      <c r="F11" s="87"/>
      <c r="G11" s="87"/>
      <c r="H11" s="87"/>
      <c r="I11" s="87"/>
      <c r="J11" s="88"/>
      <c r="K11" s="53"/>
      <c r="L11" s="17">
        <v>10</v>
      </c>
      <c r="M11" s="57" t="s">
        <v>33</v>
      </c>
      <c r="N11" s="58"/>
    </row>
    <row r="12" spans="1:14" ht="18" customHeight="1">
      <c r="A12" s="4"/>
      <c r="B12" s="86"/>
      <c r="C12" s="87"/>
      <c r="D12" s="87"/>
      <c r="E12" s="87"/>
      <c r="F12" s="87"/>
      <c r="G12" s="87"/>
      <c r="H12" s="87"/>
      <c r="I12" s="87"/>
      <c r="J12" s="88"/>
      <c r="K12" s="53"/>
      <c r="L12" s="17">
        <v>17</v>
      </c>
      <c r="M12" s="57" t="s">
        <v>32</v>
      </c>
      <c r="N12" s="58"/>
    </row>
    <row r="13" spans="1:14" ht="18" customHeight="1">
      <c r="B13" s="3" t="s">
        <v>11</v>
      </c>
      <c r="C13" s="74" t="s">
        <v>12</v>
      </c>
      <c r="D13" s="76"/>
      <c r="E13" s="74" t="s">
        <v>13</v>
      </c>
      <c r="F13" s="76"/>
      <c r="G13" s="74" t="s">
        <v>14</v>
      </c>
      <c r="H13" s="76"/>
      <c r="I13" s="74" t="s">
        <v>15</v>
      </c>
      <c r="J13" s="75"/>
      <c r="K13" s="11"/>
      <c r="L13" s="17">
        <v>24</v>
      </c>
      <c r="M13" s="42"/>
      <c r="N13" s="43"/>
    </row>
    <row r="14" spans="1:14" ht="18" customHeight="1">
      <c r="B14" s="8"/>
      <c r="C14" s="59"/>
      <c r="D14" s="60"/>
      <c r="E14" s="59"/>
      <c r="F14" s="60"/>
      <c r="G14" s="59"/>
      <c r="H14" s="60"/>
      <c r="I14" s="59"/>
      <c r="J14" s="73"/>
      <c r="K14" s="11"/>
      <c r="L14" s="17"/>
      <c r="M14" s="42"/>
      <c r="N14" s="43"/>
    </row>
    <row r="15" spans="1:14" ht="18" customHeight="1">
      <c r="B15" s="6"/>
      <c r="C15" s="61"/>
      <c r="D15" s="62"/>
      <c r="E15" s="61"/>
      <c r="F15" s="62"/>
      <c r="G15" s="61"/>
      <c r="H15" s="62"/>
      <c r="I15" s="77"/>
      <c r="J15" s="78"/>
      <c r="K15" s="13"/>
      <c r="L15" s="19"/>
      <c r="M15" s="46"/>
      <c r="N15" s="47"/>
    </row>
    <row r="16" spans="1:14" ht="18" customHeight="1">
      <c r="B16" s="8"/>
      <c r="C16" s="59"/>
      <c r="D16" s="60"/>
      <c r="E16" s="59"/>
      <c r="F16" s="60"/>
      <c r="G16" s="59"/>
      <c r="H16" s="60"/>
      <c r="I16" s="91"/>
      <c r="J16" s="92"/>
      <c r="K16" s="48" t="s">
        <v>13</v>
      </c>
      <c r="L16" s="16">
        <v>4</v>
      </c>
      <c r="M16" s="65" t="s">
        <v>31</v>
      </c>
      <c r="N16" s="66"/>
    </row>
    <row r="17" spans="2:14" ht="18" customHeight="1">
      <c r="B17" s="6"/>
      <c r="C17" s="61"/>
      <c r="D17" s="62"/>
      <c r="E17" s="61"/>
      <c r="F17" s="62"/>
      <c r="G17" s="61"/>
      <c r="H17" s="62"/>
      <c r="I17" s="77"/>
      <c r="J17" s="78"/>
      <c r="K17" s="49"/>
      <c r="L17" s="17">
        <v>11</v>
      </c>
      <c r="M17" s="57" t="s">
        <v>33</v>
      </c>
      <c r="N17" s="58"/>
    </row>
    <row r="18" spans="2:14" ht="18" customHeight="1">
      <c r="B18" s="9"/>
      <c r="C18" s="79"/>
      <c r="D18" s="80"/>
      <c r="E18" s="79"/>
      <c r="F18" s="80"/>
      <c r="G18" s="79"/>
      <c r="H18" s="80"/>
      <c r="I18" s="79"/>
      <c r="J18" s="81"/>
      <c r="K18" s="49"/>
      <c r="L18" s="17">
        <v>18</v>
      </c>
      <c r="M18" s="57" t="s">
        <v>32</v>
      </c>
      <c r="N18" s="58"/>
    </row>
    <row r="19" spans="2:14" ht="18" customHeight="1">
      <c r="B19" s="6"/>
      <c r="C19" s="61"/>
      <c r="D19" s="62"/>
      <c r="E19" s="61"/>
      <c r="F19" s="62"/>
      <c r="G19" s="61"/>
      <c r="H19" s="62"/>
      <c r="I19" s="77"/>
      <c r="J19" s="78"/>
      <c r="K19" s="11"/>
      <c r="L19" s="17">
        <v>25</v>
      </c>
      <c r="M19" s="42"/>
      <c r="N19" s="43"/>
    </row>
    <row r="20" spans="2:14" ht="18" customHeight="1">
      <c r="B20" s="8"/>
      <c r="C20" s="59"/>
      <c r="D20" s="60"/>
      <c r="E20" s="59"/>
      <c r="F20" s="60"/>
      <c r="G20" s="59"/>
      <c r="H20" s="60"/>
      <c r="I20" s="59"/>
      <c r="J20" s="73"/>
      <c r="K20" s="11"/>
      <c r="L20" s="17"/>
      <c r="M20" s="42"/>
      <c r="N20" s="43"/>
    </row>
    <row r="21" spans="2:14" ht="18" customHeight="1">
      <c r="B21" s="6"/>
      <c r="C21" s="61"/>
      <c r="D21" s="62"/>
      <c r="E21" s="61"/>
      <c r="F21" s="62"/>
      <c r="G21" s="61"/>
      <c r="H21" s="62"/>
      <c r="I21" s="89"/>
      <c r="J21" s="90"/>
      <c r="K21" s="13"/>
      <c r="L21" s="19"/>
      <c r="M21" s="46"/>
      <c r="N21" s="47"/>
    </row>
    <row r="22" spans="2:14" ht="18" customHeight="1">
      <c r="B22" s="8"/>
      <c r="C22" s="59"/>
      <c r="D22" s="60"/>
      <c r="E22" s="59"/>
      <c r="F22" s="60"/>
      <c r="G22" s="59"/>
      <c r="H22" s="60"/>
      <c r="I22" s="59"/>
      <c r="J22" s="73"/>
      <c r="K22" s="48" t="s">
        <v>14</v>
      </c>
      <c r="L22" s="16">
        <v>5</v>
      </c>
      <c r="M22" s="65" t="s">
        <v>31</v>
      </c>
      <c r="N22" s="66"/>
    </row>
    <row r="23" spans="2:14" ht="18" customHeight="1">
      <c r="B23" s="6"/>
      <c r="C23" s="61"/>
      <c r="D23" s="62"/>
      <c r="E23" s="61"/>
      <c r="F23" s="62"/>
      <c r="G23" s="61"/>
      <c r="H23" s="62"/>
      <c r="I23" s="77"/>
      <c r="J23" s="78"/>
      <c r="K23" s="49"/>
      <c r="L23" s="17">
        <v>12</v>
      </c>
      <c r="M23" s="57" t="s">
        <v>33</v>
      </c>
      <c r="N23" s="58"/>
    </row>
    <row r="24" spans="2:14" ht="18" customHeight="1">
      <c r="B24" s="8"/>
      <c r="C24" s="59"/>
      <c r="D24" s="60"/>
      <c r="E24" s="59"/>
      <c r="F24" s="60"/>
      <c r="G24" s="59"/>
      <c r="H24" s="60"/>
      <c r="I24" s="59"/>
      <c r="J24" s="73"/>
      <c r="K24" s="49"/>
      <c r="L24" s="17">
        <v>19</v>
      </c>
      <c r="M24" s="57" t="s">
        <v>32</v>
      </c>
      <c r="N24" s="58"/>
    </row>
    <row r="25" spans="2:14" ht="18" customHeight="1">
      <c r="B25" s="6"/>
      <c r="C25" s="61"/>
      <c r="D25" s="62"/>
      <c r="E25" s="61"/>
      <c r="F25" s="62"/>
      <c r="G25" s="61"/>
      <c r="H25" s="62"/>
      <c r="I25" s="77"/>
      <c r="J25" s="78"/>
      <c r="K25" s="49"/>
      <c r="L25" s="17">
        <v>26</v>
      </c>
      <c r="M25" s="42"/>
      <c r="N25" s="43"/>
    </row>
    <row r="26" spans="2:14" ht="18" customHeight="1">
      <c r="B26" s="8"/>
      <c r="C26" s="59"/>
      <c r="D26" s="60"/>
      <c r="E26" s="59"/>
      <c r="F26" s="60"/>
      <c r="G26" s="59"/>
      <c r="H26" s="60"/>
      <c r="I26" s="59"/>
      <c r="J26" s="73"/>
      <c r="K26" s="11"/>
      <c r="L26" s="17"/>
      <c r="M26" s="42"/>
      <c r="N26" s="43"/>
    </row>
    <row r="27" spans="2:14" ht="18" customHeight="1">
      <c r="B27" s="6"/>
      <c r="C27" s="61"/>
      <c r="D27" s="62"/>
      <c r="E27" s="61"/>
      <c r="F27" s="62"/>
      <c r="G27" s="61"/>
      <c r="H27" s="62"/>
      <c r="I27" s="77"/>
      <c r="J27" s="78"/>
      <c r="K27" s="13"/>
      <c r="L27" s="19"/>
      <c r="M27" s="46"/>
      <c r="N27" s="47"/>
    </row>
    <row r="28" spans="2:14" ht="18" customHeight="1">
      <c r="B28" s="8"/>
      <c r="C28" s="59"/>
      <c r="D28" s="60"/>
      <c r="E28" s="59"/>
      <c r="F28" s="60"/>
      <c r="G28" s="59"/>
      <c r="H28" s="60"/>
      <c r="I28" s="59"/>
      <c r="J28" s="73"/>
      <c r="K28" s="52" t="s">
        <v>15</v>
      </c>
      <c r="L28" s="16">
        <v>6</v>
      </c>
      <c r="M28" s="65" t="s">
        <v>31</v>
      </c>
      <c r="N28" s="66"/>
    </row>
    <row r="29" spans="2:14" ht="18" customHeight="1">
      <c r="B29" s="6"/>
      <c r="C29" s="61"/>
      <c r="D29" s="62"/>
      <c r="E29" s="61"/>
      <c r="F29" s="62"/>
      <c r="G29" s="61"/>
      <c r="H29" s="62"/>
      <c r="I29" s="61"/>
      <c r="J29" s="82"/>
      <c r="K29" s="53"/>
      <c r="L29" s="17">
        <v>13</v>
      </c>
      <c r="M29" s="57" t="s">
        <v>33</v>
      </c>
      <c r="N29" s="58"/>
    </row>
    <row r="30" spans="2:14" ht="18" customHeight="1">
      <c r="B30" s="93" t="s">
        <v>26</v>
      </c>
      <c r="C30" s="94"/>
      <c r="D30" s="94"/>
      <c r="E30" s="94"/>
      <c r="F30" s="94"/>
      <c r="G30" s="94"/>
      <c r="H30" s="94"/>
      <c r="I30" s="94"/>
      <c r="J30" s="95"/>
      <c r="K30" s="53"/>
      <c r="L30" s="17">
        <v>20</v>
      </c>
      <c r="M30" s="57" t="s">
        <v>32</v>
      </c>
      <c r="N30" s="58"/>
    </row>
    <row r="31" spans="2:14" ht="18" customHeight="1">
      <c r="B31" s="96"/>
      <c r="C31" s="97"/>
      <c r="D31" s="97"/>
      <c r="E31" s="97"/>
      <c r="F31" s="97"/>
      <c r="G31" s="97"/>
      <c r="H31" s="97"/>
      <c r="I31" s="97"/>
      <c r="J31" s="98"/>
      <c r="K31" s="14"/>
      <c r="L31" s="17">
        <v>27</v>
      </c>
      <c r="M31" s="42"/>
      <c r="N31" s="43"/>
    </row>
    <row r="32" spans="2:14" ht="18" customHeight="1">
      <c r="B32" s="96"/>
      <c r="C32" s="97"/>
      <c r="D32" s="97"/>
      <c r="E32" s="97"/>
      <c r="F32" s="97"/>
      <c r="G32" s="97"/>
      <c r="H32" s="97"/>
      <c r="I32" s="97"/>
      <c r="J32" s="98"/>
      <c r="K32" s="14"/>
      <c r="L32" s="17"/>
      <c r="M32" s="42"/>
      <c r="N32" s="43"/>
    </row>
    <row r="33" spans="2:14" ht="18" customHeight="1">
      <c r="B33" s="7"/>
      <c r="C33" s="110"/>
      <c r="D33" s="111"/>
      <c r="E33" s="110"/>
      <c r="F33" s="111"/>
      <c r="G33" s="110"/>
      <c r="H33" s="111"/>
      <c r="I33" s="112"/>
      <c r="J33" s="113"/>
      <c r="K33" s="15"/>
      <c r="L33" s="20"/>
      <c r="M33" s="44"/>
      <c r="N33" s="45"/>
    </row>
  </sheetData>
  <mergeCells count="111">
    <mergeCell ref="I29:J29"/>
    <mergeCell ref="M27:N27"/>
    <mergeCell ref="M31:N31"/>
    <mergeCell ref="M32:N32"/>
    <mergeCell ref="B30:J32"/>
    <mergeCell ref="M29:N29"/>
    <mergeCell ref="M30:N30"/>
    <mergeCell ref="M28:N28"/>
    <mergeCell ref="C29:D29"/>
    <mergeCell ref="E29:F29"/>
    <mergeCell ref="G29:H29"/>
    <mergeCell ref="M25:N25"/>
    <mergeCell ref="C26:D26"/>
    <mergeCell ref="E26:F26"/>
    <mergeCell ref="G26:H26"/>
    <mergeCell ref="I26:J26"/>
    <mergeCell ref="K28:K30"/>
    <mergeCell ref="C27:D27"/>
    <mergeCell ref="E27:F27"/>
    <mergeCell ref="G27:H27"/>
    <mergeCell ref="C33:D33"/>
    <mergeCell ref="E33:F33"/>
    <mergeCell ref="G33:H33"/>
    <mergeCell ref="I33:J33"/>
    <mergeCell ref="M33:N33"/>
    <mergeCell ref="G25:H25"/>
    <mergeCell ref="C28:D28"/>
    <mergeCell ref="E28:F28"/>
    <mergeCell ref="G28:H28"/>
    <mergeCell ref="I28:J28"/>
    <mergeCell ref="I27:J27"/>
    <mergeCell ref="I20:J20"/>
    <mergeCell ref="M26:N26"/>
    <mergeCell ref="K22:K25"/>
    <mergeCell ref="C24:D24"/>
    <mergeCell ref="E24:F24"/>
    <mergeCell ref="G24:H24"/>
    <mergeCell ref="I24:J24"/>
    <mergeCell ref="M24:N24"/>
    <mergeCell ref="C25:D25"/>
    <mergeCell ref="E25:F25"/>
    <mergeCell ref="C20:D20"/>
    <mergeCell ref="M20:N20"/>
    <mergeCell ref="I25:J25"/>
    <mergeCell ref="C23:D23"/>
    <mergeCell ref="E23:F23"/>
    <mergeCell ref="G23:H23"/>
    <mergeCell ref="I23:J23"/>
    <mergeCell ref="M23:N23"/>
    <mergeCell ref="E20:F20"/>
    <mergeCell ref="G20:H20"/>
    <mergeCell ref="M22:N22"/>
    <mergeCell ref="C22:D22"/>
    <mergeCell ref="E22:F22"/>
    <mergeCell ref="G22:H22"/>
    <mergeCell ref="I22:J22"/>
    <mergeCell ref="M21:N21"/>
    <mergeCell ref="C21:D21"/>
    <mergeCell ref="E21:F21"/>
    <mergeCell ref="G21:H21"/>
    <mergeCell ref="K16:K18"/>
    <mergeCell ref="I17:J17"/>
    <mergeCell ref="I21:J21"/>
    <mergeCell ref="M19:N19"/>
    <mergeCell ref="C18:D18"/>
    <mergeCell ref="E18:F18"/>
    <mergeCell ref="G18:H18"/>
    <mergeCell ref="I18:J18"/>
    <mergeCell ref="M18:N18"/>
    <mergeCell ref="C19:D19"/>
    <mergeCell ref="G15:H15"/>
    <mergeCell ref="I15:J15"/>
    <mergeCell ref="I19:J19"/>
    <mergeCell ref="C16:D16"/>
    <mergeCell ref="E16:F16"/>
    <mergeCell ref="G16:H16"/>
    <mergeCell ref="I16:J16"/>
    <mergeCell ref="E19:F19"/>
    <mergeCell ref="G19:H19"/>
    <mergeCell ref="M15:N15"/>
    <mergeCell ref="M6:N6"/>
    <mergeCell ref="M7:N7"/>
    <mergeCell ref="M8:N8"/>
    <mergeCell ref="M9:N9"/>
    <mergeCell ref="K10:K12"/>
    <mergeCell ref="M4:N4"/>
    <mergeCell ref="M10:N10"/>
    <mergeCell ref="B11:J12"/>
    <mergeCell ref="M5:N5"/>
    <mergeCell ref="B2:B10"/>
    <mergeCell ref="M11:N11"/>
    <mergeCell ref="G13:H13"/>
    <mergeCell ref="I13:J13"/>
    <mergeCell ref="M13:N13"/>
    <mergeCell ref="C15:D15"/>
    <mergeCell ref="E15:F15"/>
    <mergeCell ref="K2:M3"/>
    <mergeCell ref="K4:K6"/>
    <mergeCell ref="M12:N12"/>
    <mergeCell ref="C13:D13"/>
    <mergeCell ref="E13:F13"/>
    <mergeCell ref="C14:D14"/>
    <mergeCell ref="E14:F14"/>
    <mergeCell ref="G14:H14"/>
    <mergeCell ref="I14:J14"/>
    <mergeCell ref="M14:N14"/>
    <mergeCell ref="M17:N17"/>
    <mergeCell ref="M16:N16"/>
    <mergeCell ref="C17:D17"/>
    <mergeCell ref="E17:F17"/>
    <mergeCell ref="G17:H17"/>
  </mergeCells>
  <conditionalFormatting sqref="C4:H4">
    <cfRule type="expression" dxfId="11" priority="5" stopIfTrue="1">
      <formula>DAY(C4)&gt;8</formula>
    </cfRule>
  </conditionalFormatting>
  <conditionalFormatting sqref="C8:I10">
    <cfRule type="expression" dxfId="10" priority="4" stopIfTrue="1">
      <formula>AND(DAY(C8)&gt;=1,DAY(C8)&lt;=15)</formula>
    </cfRule>
  </conditionalFormatting>
  <conditionalFormatting sqref="C4:I9">
    <cfRule type="expression" dxfId="9" priority="6">
      <formula>VLOOKUP(DAY(C4),DíasDeTareas,1,FALSE)=DAY(C4)</formula>
    </cfRule>
  </conditionalFormatting>
  <conditionalFormatting sqref="B14:J29 B33:J33">
    <cfRule type="expression" dxfId="8" priority="3">
      <formula>B14&lt;&gt;""</formula>
    </cfRule>
  </conditionalFormatting>
  <conditionalFormatting sqref="B30">
    <cfRule type="expression" dxfId="7" priority="2">
      <formula>B30&lt;&gt;""</formula>
    </cfRule>
  </conditionalFormatting>
  <conditionalFormatting sqref="B30">
    <cfRule type="expression" dxfId="6" priority="1">
      <formula>B30&lt;&gt;""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O33"/>
  <sheetViews>
    <sheetView showGridLines="0" zoomScaleNormal="100" zoomScalePageLayoutView="84" workbookViewId="0">
      <selection activeCell="B30" sqref="B30:J32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83" t="s">
        <v>9</v>
      </c>
      <c r="C2" s="21"/>
      <c r="D2" s="21"/>
      <c r="E2" s="21"/>
      <c r="F2" s="21"/>
      <c r="G2" s="21"/>
      <c r="H2" s="21"/>
      <c r="I2" s="21"/>
      <c r="J2" s="22"/>
      <c r="K2" s="67" t="s">
        <v>2</v>
      </c>
      <c r="L2" s="68">
        <v>2013</v>
      </c>
      <c r="M2" s="68"/>
      <c r="N2" s="25"/>
    </row>
    <row r="3" spans="1:14" ht="21" customHeight="1">
      <c r="A3" s="4"/>
      <c r="B3" s="84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69"/>
      <c r="L3" s="70"/>
      <c r="M3" s="70"/>
      <c r="N3" s="26"/>
    </row>
    <row r="4" spans="1:14" ht="18" customHeight="1">
      <c r="A4" s="4"/>
      <c r="B4" s="84"/>
      <c r="C4" s="10">
        <f>IF(DAY(DicDom1)=1,DicDom1-6,DicDom1+1)</f>
        <v>44529</v>
      </c>
      <c r="D4" s="10">
        <f>IF(DAY(DicDom1)=1,DicDom1-5,DicDom1+2)</f>
        <v>44530</v>
      </c>
      <c r="E4" s="10">
        <f>IF(DAY(DicDom1)=1,DicDom1-4,DicDom1+3)</f>
        <v>44531</v>
      </c>
      <c r="F4" s="10">
        <f>IF(DAY(DicDom1)=1,DicDom1-3,DicDom1+4)</f>
        <v>44532</v>
      </c>
      <c r="G4" s="10">
        <f>IF(DAY(DicDom1)=1,DicDom1-2,DicDom1+5)</f>
        <v>44533</v>
      </c>
      <c r="H4" s="10">
        <f>IF(DAY(DicDom1)=1,DicDom1-1,DicDom1+6)</f>
        <v>44534</v>
      </c>
      <c r="I4" s="10">
        <f>IF(DAY(DicDom1)=1,DicDom1,DicDom1+7)</f>
        <v>44535</v>
      </c>
      <c r="J4" s="5"/>
      <c r="K4" s="54" t="s">
        <v>11</v>
      </c>
      <c r="L4" s="16"/>
      <c r="M4" s="55"/>
      <c r="N4" s="56"/>
    </row>
    <row r="5" spans="1:14" ht="18" customHeight="1">
      <c r="A5" s="4"/>
      <c r="B5" s="84"/>
      <c r="C5" s="10">
        <f>IF(DAY(DicDom1)=1,DicDom1+1,DicDom1+8)</f>
        <v>44536</v>
      </c>
      <c r="D5" s="10">
        <f>IF(DAY(DicDom1)=1,DicDom1+2,DicDom1+9)</f>
        <v>44537</v>
      </c>
      <c r="E5" s="10">
        <f>IF(DAY(DicDom1)=1,DicDom1+3,DicDom1+10)</f>
        <v>44538</v>
      </c>
      <c r="F5" s="10">
        <f>IF(DAY(DicDom1)=1,DicDom1+4,DicDom1+11)</f>
        <v>44539</v>
      </c>
      <c r="G5" s="10">
        <f>IF(DAY(DicDom1)=1,DicDom1+5,DicDom1+12)</f>
        <v>44540</v>
      </c>
      <c r="H5" s="10">
        <f>IF(DAY(DicDom1)=1,DicDom1+6,DicDom1+13)</f>
        <v>44541</v>
      </c>
      <c r="I5" s="10">
        <f>IF(DAY(DicDom1)=1,DicDom1+7,DicDom1+14)</f>
        <v>44542</v>
      </c>
      <c r="J5" s="5"/>
      <c r="K5" s="53"/>
      <c r="L5" s="17"/>
      <c r="M5" s="42"/>
      <c r="N5" s="43"/>
    </row>
    <row r="6" spans="1:14" ht="18" customHeight="1">
      <c r="A6" s="4"/>
      <c r="B6" s="84"/>
      <c r="C6" s="10">
        <f>IF(DAY(DicDom1)=1,DicDom1+8,DicDom1+15)</f>
        <v>44543</v>
      </c>
      <c r="D6" s="10">
        <f>IF(DAY(DicDom1)=1,DicDom1+9,DicDom1+16)</f>
        <v>44544</v>
      </c>
      <c r="E6" s="10">
        <f>IF(DAY(DicDom1)=1,DicDom1+10,DicDom1+17)</f>
        <v>44545</v>
      </c>
      <c r="F6" s="10">
        <f>IF(DAY(DicDom1)=1,DicDom1+11,DicDom1+18)</f>
        <v>44546</v>
      </c>
      <c r="G6" s="10">
        <f>IF(DAY(DicDom1)=1,DicDom1+12,DicDom1+19)</f>
        <v>44547</v>
      </c>
      <c r="H6" s="10">
        <f>IF(DAY(DicDom1)=1,DicDom1+13,DicDom1+20)</f>
        <v>44548</v>
      </c>
      <c r="I6" s="10">
        <f>IF(DAY(DicDom1)=1,DicDom1+14,DicDom1+21)</f>
        <v>44549</v>
      </c>
      <c r="J6" s="5"/>
      <c r="K6" s="53"/>
      <c r="L6" s="17"/>
      <c r="M6" s="42"/>
      <c r="N6" s="43"/>
    </row>
    <row r="7" spans="1:14" ht="18" customHeight="1">
      <c r="A7" s="4"/>
      <c r="B7" s="84"/>
      <c r="C7" s="10">
        <f>IF(DAY(DicDom1)=1,DicDom1+15,DicDom1+22)</f>
        <v>44550</v>
      </c>
      <c r="D7" s="10">
        <f>IF(DAY(DicDom1)=1,DicDom1+16,DicDom1+23)</f>
        <v>44551</v>
      </c>
      <c r="E7" s="10">
        <f>IF(DAY(DicDom1)=1,DicDom1+17,DicDom1+24)</f>
        <v>44552</v>
      </c>
      <c r="F7" s="10">
        <f>IF(DAY(DicDom1)=1,DicDom1+18,DicDom1+25)</f>
        <v>44553</v>
      </c>
      <c r="G7" s="10">
        <f>IF(DAY(DicDom1)=1,DicDom1+19,DicDom1+26)</f>
        <v>44554</v>
      </c>
      <c r="H7" s="10">
        <f>IF(DAY(DicDom1)=1,DicDom1+20,DicDom1+27)</f>
        <v>44555</v>
      </c>
      <c r="I7" s="10">
        <f>IF(DAY(DicDom1)=1,DicDom1+21,DicDom1+28)</f>
        <v>44556</v>
      </c>
      <c r="J7" s="5"/>
      <c r="K7" s="11"/>
      <c r="L7" s="17"/>
      <c r="M7" s="42"/>
      <c r="N7" s="43"/>
    </row>
    <row r="8" spans="1:14" ht="18.75" customHeight="1">
      <c r="A8" s="4"/>
      <c r="B8" s="84"/>
      <c r="C8" s="10">
        <f>IF(DAY(DicDom1)=1,DicDom1+22,DicDom1+29)</f>
        <v>44557</v>
      </c>
      <c r="D8" s="10">
        <f>IF(DAY(DicDom1)=1,DicDom1+23,DicDom1+30)</f>
        <v>44558</v>
      </c>
      <c r="E8" s="10">
        <f>IF(DAY(DicDom1)=1,DicDom1+24,DicDom1+31)</f>
        <v>44559</v>
      </c>
      <c r="F8" s="10">
        <f>IF(DAY(DicDom1)=1,DicDom1+25,DicDom1+32)</f>
        <v>44560</v>
      </c>
      <c r="G8" s="10">
        <f>IF(DAY(DicDom1)=1,DicDom1+26,DicDom1+33)</f>
        <v>44561</v>
      </c>
      <c r="H8" s="10">
        <f>IF(DAY(DicDom1)=1,DicDom1+27,DicDom1+34)</f>
        <v>44562</v>
      </c>
      <c r="I8" s="10">
        <f>IF(DAY(DicDom1)=1,DicDom1+28,DicDom1+35)</f>
        <v>44563</v>
      </c>
      <c r="J8" s="5"/>
      <c r="K8" s="11"/>
      <c r="L8" s="17"/>
      <c r="M8" s="42"/>
      <c r="N8" s="43"/>
    </row>
    <row r="9" spans="1:14" ht="18" customHeight="1">
      <c r="A9" s="4"/>
      <c r="B9" s="84"/>
      <c r="C9" s="10">
        <f>IF(DAY(DicDom1)=1,DicDom1+29,DicDom1+36)</f>
        <v>44564</v>
      </c>
      <c r="D9" s="10">
        <f>IF(DAY(DicDom1)=1,DicDom1+30,DicDom1+37)</f>
        <v>44565</v>
      </c>
      <c r="E9" s="10">
        <f>IF(DAY(DicDom1)=1,DicDom1+31,DicDom1+38)</f>
        <v>44566</v>
      </c>
      <c r="F9" s="10">
        <f>IF(DAY(DicDom1)=1,DicDom1+32,DicDom1+39)</f>
        <v>44567</v>
      </c>
      <c r="G9" s="10">
        <f>IF(DAY(DicDom1)=1,DicDom1+33,DicDom1+40)</f>
        <v>44568</v>
      </c>
      <c r="H9" s="10">
        <f>IF(DAY(DicDom1)=1,DicDom1+34,DicDom1+41)</f>
        <v>44569</v>
      </c>
      <c r="I9" s="10">
        <f>IF(DAY(DicDom1)=1,DicDom1+35,DicDom1+42)</f>
        <v>44570</v>
      </c>
      <c r="J9" s="5"/>
      <c r="K9" s="12"/>
      <c r="L9" s="18"/>
      <c r="M9" s="46"/>
      <c r="N9" s="47"/>
    </row>
    <row r="10" spans="1:14" ht="18" customHeight="1">
      <c r="A10" s="4"/>
      <c r="B10" s="85"/>
      <c r="C10" s="23"/>
      <c r="D10" s="23"/>
      <c r="E10" s="23"/>
      <c r="F10" s="23"/>
      <c r="G10" s="23"/>
      <c r="H10" s="23"/>
      <c r="I10" s="23"/>
      <c r="J10" s="24"/>
      <c r="K10" s="52" t="s">
        <v>12</v>
      </c>
      <c r="L10" s="16"/>
      <c r="M10" s="50"/>
      <c r="N10" s="51"/>
    </row>
    <row r="11" spans="1:14" ht="18" customHeight="1">
      <c r="A11" s="4"/>
      <c r="B11" s="86" t="s">
        <v>10</v>
      </c>
      <c r="C11" s="87"/>
      <c r="D11" s="87"/>
      <c r="E11" s="87"/>
      <c r="F11" s="87"/>
      <c r="G11" s="87"/>
      <c r="H11" s="87"/>
      <c r="I11" s="87"/>
      <c r="J11" s="88"/>
      <c r="K11" s="53"/>
      <c r="L11" s="17"/>
      <c r="M11" s="42"/>
      <c r="N11" s="43"/>
    </row>
    <row r="12" spans="1:14" ht="18" customHeight="1">
      <c r="A12" s="4"/>
      <c r="B12" s="86"/>
      <c r="C12" s="87"/>
      <c r="D12" s="87"/>
      <c r="E12" s="87"/>
      <c r="F12" s="87"/>
      <c r="G12" s="87"/>
      <c r="H12" s="87"/>
      <c r="I12" s="87"/>
      <c r="J12" s="88"/>
      <c r="K12" s="53"/>
      <c r="L12" s="17"/>
      <c r="M12" s="42"/>
      <c r="N12" s="43"/>
    </row>
    <row r="13" spans="1:14" ht="18" customHeight="1">
      <c r="B13" s="3" t="s">
        <v>11</v>
      </c>
      <c r="C13" s="74" t="s">
        <v>12</v>
      </c>
      <c r="D13" s="76"/>
      <c r="E13" s="74" t="s">
        <v>13</v>
      </c>
      <c r="F13" s="76"/>
      <c r="G13" s="74" t="s">
        <v>14</v>
      </c>
      <c r="H13" s="76"/>
      <c r="I13" s="74" t="s">
        <v>15</v>
      </c>
      <c r="J13" s="75"/>
      <c r="K13" s="11"/>
      <c r="L13" s="17"/>
      <c r="M13" s="42"/>
      <c r="N13" s="43"/>
    </row>
    <row r="14" spans="1:14" ht="18" customHeight="1">
      <c r="B14" s="8"/>
      <c r="C14" s="59"/>
      <c r="D14" s="60"/>
      <c r="E14" s="59"/>
      <c r="F14" s="60"/>
      <c r="G14" s="59"/>
      <c r="H14" s="60"/>
      <c r="I14" s="59"/>
      <c r="J14" s="73"/>
      <c r="K14" s="11"/>
      <c r="L14" s="17"/>
      <c r="M14" s="42"/>
      <c r="N14" s="43"/>
    </row>
    <row r="15" spans="1:14" ht="18" customHeight="1">
      <c r="B15" s="6"/>
      <c r="C15" s="61"/>
      <c r="D15" s="62"/>
      <c r="E15" s="61"/>
      <c r="F15" s="62"/>
      <c r="G15" s="61"/>
      <c r="H15" s="62"/>
      <c r="I15" s="77"/>
      <c r="J15" s="78"/>
      <c r="K15" s="13"/>
      <c r="L15" s="19"/>
      <c r="M15" s="46"/>
      <c r="N15" s="47"/>
    </row>
    <row r="16" spans="1:14" ht="18" customHeight="1">
      <c r="B16" s="8"/>
      <c r="C16" s="59"/>
      <c r="D16" s="60"/>
      <c r="E16" s="59"/>
      <c r="F16" s="60"/>
      <c r="G16" s="59"/>
      <c r="H16" s="60"/>
      <c r="I16" s="91"/>
      <c r="J16" s="92"/>
      <c r="K16" s="48" t="s">
        <v>13</v>
      </c>
      <c r="L16" s="16"/>
      <c r="M16" s="50"/>
      <c r="N16" s="51"/>
    </row>
    <row r="17" spans="2:14" ht="18" customHeight="1">
      <c r="B17" s="6"/>
      <c r="C17" s="61"/>
      <c r="D17" s="62"/>
      <c r="E17" s="61"/>
      <c r="F17" s="62"/>
      <c r="G17" s="61"/>
      <c r="H17" s="62"/>
      <c r="I17" s="77"/>
      <c r="J17" s="78"/>
      <c r="K17" s="49"/>
      <c r="L17" s="17"/>
      <c r="M17" s="42"/>
      <c r="N17" s="43"/>
    </row>
    <row r="18" spans="2:14" ht="18" customHeight="1">
      <c r="B18" s="9"/>
      <c r="C18" s="79"/>
      <c r="D18" s="80"/>
      <c r="E18" s="79"/>
      <c r="F18" s="80"/>
      <c r="G18" s="79"/>
      <c r="H18" s="80"/>
      <c r="I18" s="79"/>
      <c r="J18" s="81"/>
      <c r="K18" s="49"/>
      <c r="L18" s="17"/>
      <c r="M18" s="42"/>
      <c r="N18" s="43"/>
    </row>
    <row r="19" spans="2:14" ht="18" customHeight="1">
      <c r="B19" s="6"/>
      <c r="C19" s="61"/>
      <c r="D19" s="62"/>
      <c r="E19" s="61"/>
      <c r="F19" s="62"/>
      <c r="G19" s="61"/>
      <c r="H19" s="62"/>
      <c r="I19" s="77"/>
      <c r="J19" s="78"/>
      <c r="K19" s="11"/>
      <c r="L19" s="17"/>
      <c r="M19" s="42"/>
      <c r="N19" s="43"/>
    </row>
    <row r="20" spans="2:14" ht="18" customHeight="1">
      <c r="B20" s="8"/>
      <c r="C20" s="59"/>
      <c r="D20" s="60"/>
      <c r="E20" s="59"/>
      <c r="F20" s="60"/>
      <c r="G20" s="59"/>
      <c r="H20" s="60"/>
      <c r="I20" s="59"/>
      <c r="J20" s="73"/>
      <c r="K20" s="11"/>
      <c r="L20" s="17"/>
      <c r="M20" s="42"/>
      <c r="N20" s="43"/>
    </row>
    <row r="21" spans="2:14" ht="18" customHeight="1">
      <c r="B21" s="6"/>
      <c r="C21" s="61"/>
      <c r="D21" s="62"/>
      <c r="E21" s="61"/>
      <c r="F21" s="62"/>
      <c r="G21" s="61"/>
      <c r="H21" s="62"/>
      <c r="I21" s="89"/>
      <c r="J21" s="90"/>
      <c r="K21" s="13"/>
      <c r="L21" s="19"/>
      <c r="M21" s="46"/>
      <c r="N21" s="47"/>
    </row>
    <row r="22" spans="2:14" ht="18" customHeight="1">
      <c r="B22" s="8"/>
      <c r="C22" s="59"/>
      <c r="D22" s="60"/>
      <c r="E22" s="59"/>
      <c r="F22" s="60"/>
      <c r="G22" s="59"/>
      <c r="H22" s="60"/>
      <c r="I22" s="59"/>
      <c r="J22" s="73"/>
      <c r="K22" s="48" t="s">
        <v>14</v>
      </c>
      <c r="L22" s="16"/>
      <c r="M22" s="50"/>
      <c r="N22" s="51"/>
    </row>
    <row r="23" spans="2:14" ht="18" customHeight="1">
      <c r="B23" s="6"/>
      <c r="C23" s="61"/>
      <c r="D23" s="62"/>
      <c r="E23" s="61"/>
      <c r="F23" s="62"/>
      <c r="G23" s="61"/>
      <c r="H23" s="62"/>
      <c r="I23" s="77"/>
      <c r="J23" s="78"/>
      <c r="K23" s="49"/>
      <c r="L23" s="17"/>
      <c r="M23" s="42"/>
      <c r="N23" s="43"/>
    </row>
    <row r="24" spans="2:14" ht="18" customHeight="1">
      <c r="B24" s="8"/>
      <c r="C24" s="59"/>
      <c r="D24" s="60"/>
      <c r="E24" s="59"/>
      <c r="F24" s="60"/>
      <c r="G24" s="59"/>
      <c r="H24" s="60"/>
      <c r="I24" s="59"/>
      <c r="J24" s="73"/>
      <c r="K24" s="49"/>
      <c r="L24" s="17"/>
      <c r="M24" s="42"/>
      <c r="N24" s="43"/>
    </row>
    <row r="25" spans="2:14" ht="18" customHeight="1">
      <c r="B25" s="6"/>
      <c r="C25" s="61"/>
      <c r="D25" s="62"/>
      <c r="E25" s="61"/>
      <c r="F25" s="62"/>
      <c r="G25" s="61"/>
      <c r="H25" s="62"/>
      <c r="I25" s="77"/>
      <c r="J25" s="78"/>
      <c r="K25" s="49"/>
      <c r="L25" s="17"/>
      <c r="M25" s="42"/>
      <c r="N25" s="43"/>
    </row>
    <row r="26" spans="2:14" ht="18" customHeight="1">
      <c r="B26" s="8"/>
      <c r="C26" s="59"/>
      <c r="D26" s="60"/>
      <c r="E26" s="59"/>
      <c r="F26" s="60"/>
      <c r="G26" s="59"/>
      <c r="H26" s="60"/>
      <c r="I26" s="59"/>
      <c r="J26" s="73"/>
      <c r="K26" s="11"/>
      <c r="L26" s="17"/>
      <c r="M26" s="42"/>
      <c r="N26" s="43"/>
    </row>
    <row r="27" spans="2:14" ht="18" customHeight="1">
      <c r="B27" s="6"/>
      <c r="C27" s="61"/>
      <c r="D27" s="62"/>
      <c r="E27" s="61"/>
      <c r="F27" s="62"/>
      <c r="G27" s="61"/>
      <c r="H27" s="62"/>
      <c r="I27" s="77"/>
      <c r="J27" s="78"/>
      <c r="K27" s="13"/>
      <c r="L27" s="19"/>
      <c r="M27" s="46"/>
      <c r="N27" s="47"/>
    </row>
    <row r="28" spans="2:14" ht="18" customHeight="1">
      <c r="B28" s="8"/>
      <c r="C28" s="59"/>
      <c r="D28" s="60"/>
      <c r="E28" s="59"/>
      <c r="F28" s="60"/>
      <c r="G28" s="59"/>
      <c r="H28" s="60"/>
      <c r="I28" s="59"/>
      <c r="J28" s="73"/>
      <c r="K28" s="52" t="s">
        <v>15</v>
      </c>
      <c r="L28" s="16"/>
      <c r="M28" s="50"/>
      <c r="N28" s="51"/>
    </row>
    <row r="29" spans="2:14" ht="18" customHeight="1">
      <c r="B29" s="6"/>
      <c r="C29" s="61"/>
      <c r="D29" s="62"/>
      <c r="E29" s="61"/>
      <c r="F29" s="62"/>
      <c r="G29" s="61"/>
      <c r="H29" s="62"/>
      <c r="I29" s="61"/>
      <c r="J29" s="82"/>
      <c r="K29" s="53"/>
      <c r="L29" s="17"/>
      <c r="M29" s="42"/>
      <c r="N29" s="43"/>
    </row>
    <row r="30" spans="2:14" ht="18" customHeight="1">
      <c r="B30" s="93" t="s">
        <v>26</v>
      </c>
      <c r="C30" s="94"/>
      <c r="D30" s="94"/>
      <c r="E30" s="94"/>
      <c r="F30" s="94"/>
      <c r="G30" s="94"/>
      <c r="H30" s="94"/>
      <c r="I30" s="94"/>
      <c r="J30" s="95"/>
      <c r="K30" s="53"/>
      <c r="L30" s="17"/>
      <c r="M30" s="42"/>
      <c r="N30" s="43"/>
    </row>
    <row r="31" spans="2:14" ht="18" customHeight="1">
      <c r="B31" s="96"/>
      <c r="C31" s="97"/>
      <c r="D31" s="97"/>
      <c r="E31" s="97"/>
      <c r="F31" s="97"/>
      <c r="G31" s="97"/>
      <c r="H31" s="97"/>
      <c r="I31" s="97"/>
      <c r="J31" s="98"/>
      <c r="K31" s="14"/>
      <c r="L31" s="17"/>
      <c r="M31" s="42"/>
      <c r="N31" s="43"/>
    </row>
    <row r="32" spans="2:14" ht="18" customHeight="1">
      <c r="B32" s="96"/>
      <c r="C32" s="97"/>
      <c r="D32" s="97"/>
      <c r="E32" s="97"/>
      <c r="F32" s="97"/>
      <c r="G32" s="97"/>
      <c r="H32" s="97"/>
      <c r="I32" s="97"/>
      <c r="J32" s="98"/>
      <c r="K32" s="14"/>
      <c r="L32" s="17"/>
      <c r="M32" s="42"/>
      <c r="N32" s="43"/>
    </row>
    <row r="33" spans="2:14" ht="18" customHeight="1">
      <c r="B33" s="7"/>
      <c r="C33" s="110"/>
      <c r="D33" s="111"/>
      <c r="E33" s="110"/>
      <c r="F33" s="111"/>
      <c r="G33" s="110"/>
      <c r="H33" s="111"/>
      <c r="I33" s="112"/>
      <c r="J33" s="113"/>
      <c r="K33" s="15"/>
      <c r="L33" s="20"/>
      <c r="M33" s="44"/>
      <c r="N33" s="45"/>
    </row>
  </sheetData>
  <mergeCells count="111">
    <mergeCell ref="I29:J29"/>
    <mergeCell ref="M27:N27"/>
    <mergeCell ref="M31:N31"/>
    <mergeCell ref="M32:N32"/>
    <mergeCell ref="B30:J32"/>
    <mergeCell ref="M29:N29"/>
    <mergeCell ref="M30:N30"/>
    <mergeCell ref="M28:N28"/>
    <mergeCell ref="C29:D29"/>
    <mergeCell ref="E29:F29"/>
    <mergeCell ref="G29:H29"/>
    <mergeCell ref="M25:N25"/>
    <mergeCell ref="C26:D26"/>
    <mergeCell ref="E26:F26"/>
    <mergeCell ref="G26:H26"/>
    <mergeCell ref="I26:J26"/>
    <mergeCell ref="K28:K30"/>
    <mergeCell ref="C27:D27"/>
    <mergeCell ref="E27:F27"/>
    <mergeCell ref="G27:H27"/>
    <mergeCell ref="C33:D33"/>
    <mergeCell ref="E33:F33"/>
    <mergeCell ref="G33:H33"/>
    <mergeCell ref="I33:J33"/>
    <mergeCell ref="M33:N33"/>
    <mergeCell ref="G25:H25"/>
    <mergeCell ref="C28:D28"/>
    <mergeCell ref="E28:F28"/>
    <mergeCell ref="G28:H28"/>
    <mergeCell ref="I28:J28"/>
    <mergeCell ref="I27:J27"/>
    <mergeCell ref="I20:J20"/>
    <mergeCell ref="M26:N26"/>
    <mergeCell ref="K22:K25"/>
    <mergeCell ref="C24:D24"/>
    <mergeCell ref="E24:F24"/>
    <mergeCell ref="G24:H24"/>
    <mergeCell ref="I24:J24"/>
    <mergeCell ref="M24:N24"/>
    <mergeCell ref="C25:D25"/>
    <mergeCell ref="E25:F25"/>
    <mergeCell ref="C20:D20"/>
    <mergeCell ref="M20:N20"/>
    <mergeCell ref="I25:J25"/>
    <mergeCell ref="C23:D23"/>
    <mergeCell ref="E23:F23"/>
    <mergeCell ref="G23:H23"/>
    <mergeCell ref="I23:J23"/>
    <mergeCell ref="M23:N23"/>
    <mergeCell ref="E20:F20"/>
    <mergeCell ref="G20:H20"/>
    <mergeCell ref="M22:N22"/>
    <mergeCell ref="C22:D22"/>
    <mergeCell ref="E22:F22"/>
    <mergeCell ref="G22:H22"/>
    <mergeCell ref="I22:J22"/>
    <mergeCell ref="M21:N21"/>
    <mergeCell ref="C21:D21"/>
    <mergeCell ref="E21:F21"/>
    <mergeCell ref="G21:H21"/>
    <mergeCell ref="K16:K18"/>
    <mergeCell ref="I17:J17"/>
    <mergeCell ref="I21:J21"/>
    <mergeCell ref="M19:N19"/>
    <mergeCell ref="C18:D18"/>
    <mergeCell ref="E18:F18"/>
    <mergeCell ref="G18:H18"/>
    <mergeCell ref="I18:J18"/>
    <mergeCell ref="M18:N18"/>
    <mergeCell ref="C19:D19"/>
    <mergeCell ref="G15:H15"/>
    <mergeCell ref="I15:J15"/>
    <mergeCell ref="I19:J19"/>
    <mergeCell ref="C16:D16"/>
    <mergeCell ref="E16:F16"/>
    <mergeCell ref="G16:H16"/>
    <mergeCell ref="I16:J16"/>
    <mergeCell ref="E19:F19"/>
    <mergeCell ref="G19:H19"/>
    <mergeCell ref="M15:N15"/>
    <mergeCell ref="M6:N6"/>
    <mergeCell ref="M7:N7"/>
    <mergeCell ref="M8:N8"/>
    <mergeCell ref="M9:N9"/>
    <mergeCell ref="K10:K12"/>
    <mergeCell ref="M4:N4"/>
    <mergeCell ref="M10:N10"/>
    <mergeCell ref="B11:J12"/>
    <mergeCell ref="M5:N5"/>
    <mergeCell ref="B2:B10"/>
    <mergeCell ref="M11:N11"/>
    <mergeCell ref="G13:H13"/>
    <mergeCell ref="I13:J13"/>
    <mergeCell ref="M13:N13"/>
    <mergeCell ref="C15:D15"/>
    <mergeCell ref="E15:F15"/>
    <mergeCell ref="K2:M3"/>
    <mergeCell ref="K4:K6"/>
    <mergeCell ref="M12:N12"/>
    <mergeCell ref="C13:D13"/>
    <mergeCell ref="E13:F13"/>
    <mergeCell ref="C14:D14"/>
    <mergeCell ref="E14:F14"/>
    <mergeCell ref="G14:H14"/>
    <mergeCell ref="I14:J14"/>
    <mergeCell ref="M14:N14"/>
    <mergeCell ref="M17:N17"/>
    <mergeCell ref="M16:N16"/>
    <mergeCell ref="C17:D17"/>
    <mergeCell ref="E17:F17"/>
    <mergeCell ref="G17:H17"/>
  </mergeCells>
  <conditionalFormatting sqref="C4:H4">
    <cfRule type="expression" dxfId="5" priority="5" stopIfTrue="1">
      <formula>DAY(C4)&gt;8</formula>
    </cfRule>
  </conditionalFormatting>
  <conditionalFormatting sqref="C8:I10">
    <cfRule type="expression" dxfId="4" priority="4" stopIfTrue="1">
      <formula>AND(DAY(C8)&gt;=1,DAY(C8)&lt;=15)</formula>
    </cfRule>
  </conditionalFormatting>
  <conditionalFormatting sqref="C4:I9">
    <cfRule type="expression" dxfId="3" priority="6">
      <formula>VLOOKUP(DAY(C4),DíasDeTareas,1,FALSE)=DAY(C4)</formula>
    </cfRule>
  </conditionalFormatting>
  <conditionalFormatting sqref="B14:J29 B33:J33">
    <cfRule type="expression" dxfId="2" priority="3">
      <formula>B14&lt;&gt;""</formula>
    </cfRule>
  </conditionalFormatting>
  <conditionalFormatting sqref="B30">
    <cfRule type="expression" dxfId="1" priority="2">
      <formula>B30&lt;&gt;""</formula>
    </cfRule>
  </conditionalFormatting>
  <conditionalFormatting sqref="B30">
    <cfRule type="expression" dxfId="0" priority="1">
      <formula>B30&lt;&gt;""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O119"/>
  <sheetViews>
    <sheetView showGridLines="0" topLeftCell="B1" zoomScaleNormal="100" zoomScalePageLayoutView="84" workbookViewId="0">
      <selection activeCell="M4" sqref="M4:N6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83" t="s">
        <v>25</v>
      </c>
      <c r="C2" s="21"/>
      <c r="D2" s="21"/>
      <c r="E2" s="21"/>
      <c r="F2" s="21"/>
      <c r="G2" s="21"/>
      <c r="H2" s="21"/>
      <c r="I2" s="21"/>
      <c r="J2" s="22"/>
      <c r="K2" s="67" t="s">
        <v>2</v>
      </c>
      <c r="L2" s="68">
        <v>2013</v>
      </c>
      <c r="M2" s="68"/>
      <c r="N2" s="25"/>
    </row>
    <row r="3" spans="1:14" ht="21" customHeight="1">
      <c r="A3" s="4"/>
      <c r="B3" s="84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69"/>
      <c r="L3" s="70"/>
      <c r="M3" s="70"/>
      <c r="N3" s="26"/>
    </row>
    <row r="4" spans="1:14" ht="18" customHeight="1">
      <c r="A4" s="4"/>
      <c r="B4" s="84"/>
      <c r="C4" s="10">
        <f>IF(DAY(FebDom1)=1,FebDom1-6,FebDom1+1)</f>
        <v>44228</v>
      </c>
      <c r="D4" s="41">
        <f>IF(DAY(FebDom1)=1,FebDom1-5,FebDom1+2)</f>
        <v>44229</v>
      </c>
      <c r="E4" s="41">
        <f>IF(DAY(FebDom1)=1,FebDom1-4,FebDom1+3)</f>
        <v>44230</v>
      </c>
      <c r="F4" s="41">
        <f>IF(DAY(FebDom1)=1,FebDom1-3,FebDom1+4)</f>
        <v>44231</v>
      </c>
      <c r="G4" s="41">
        <f>IF(DAY(FebDom1)=1,FebDom1-2,FebDom1+5)</f>
        <v>44232</v>
      </c>
      <c r="H4" s="10">
        <f>IF(DAY(FebDom1)=1,FebDom1-1,FebDom1+6)</f>
        <v>44233</v>
      </c>
      <c r="I4" s="10">
        <f>IF(DAY(FebDom1)=1,FebDom1,FebDom1+7)</f>
        <v>44234</v>
      </c>
      <c r="J4" s="5"/>
      <c r="K4" s="54" t="s">
        <v>28</v>
      </c>
      <c r="L4" s="16">
        <v>8</v>
      </c>
      <c r="M4" s="63" t="s">
        <v>34</v>
      </c>
      <c r="N4" s="64"/>
    </row>
    <row r="5" spans="1:14" ht="18" customHeight="1">
      <c r="A5" s="4"/>
      <c r="B5" s="84"/>
      <c r="C5" s="41">
        <f>IF(DAY(FebDom1)=1,FebDom1+1,FebDom1+8)</f>
        <v>44235</v>
      </c>
      <c r="D5" s="41">
        <f>IF(DAY(FebDom1)=1,FebDom1+2,FebDom1+9)</f>
        <v>44236</v>
      </c>
      <c r="E5" s="41">
        <f>IF(DAY(FebDom1)=1,FebDom1+3,FebDom1+10)</f>
        <v>44237</v>
      </c>
      <c r="F5" s="41">
        <f>IF(DAY(FebDom1)=1,FebDom1+4,FebDom1+11)</f>
        <v>44238</v>
      </c>
      <c r="G5" s="41">
        <f>IF(DAY(FebDom1)=1,FebDom1+5,FebDom1+12)</f>
        <v>44239</v>
      </c>
      <c r="H5" s="10">
        <f>IF(DAY(FebDom1)=1,FebDom1+6,FebDom1+13)</f>
        <v>44240</v>
      </c>
      <c r="I5" s="10">
        <f>IF(DAY(FebDom1)=1,FebDom1+7,FebDom1+14)</f>
        <v>44241</v>
      </c>
      <c r="J5" s="5"/>
      <c r="K5" s="53"/>
      <c r="L5" s="17">
        <v>15</v>
      </c>
      <c r="M5" s="57" t="s">
        <v>37</v>
      </c>
      <c r="N5" s="58"/>
    </row>
    <row r="6" spans="1:14" ht="18" customHeight="1">
      <c r="A6" s="4"/>
      <c r="B6" s="84"/>
      <c r="C6" s="41">
        <f>IF(DAY(FebDom1)=1,FebDom1+8,FebDom1+15)</f>
        <v>44242</v>
      </c>
      <c r="D6" s="41">
        <f>IF(DAY(FebDom1)=1,FebDom1+9,FebDom1+16)</f>
        <v>44243</v>
      </c>
      <c r="E6" s="41">
        <f>IF(DAY(FebDom1)=1,FebDom1+10,FebDom1+17)</f>
        <v>44244</v>
      </c>
      <c r="F6" s="41">
        <f>IF(DAY(FebDom1)=1,FebDom1+11,FebDom1+18)</f>
        <v>44245</v>
      </c>
      <c r="G6" s="41">
        <f>IF(DAY(FebDom1)=1,FebDom1+12,FebDom1+19)</f>
        <v>44246</v>
      </c>
      <c r="H6" s="10">
        <f>IF(DAY(FebDom1)=1,FebDom1+13,FebDom1+20)</f>
        <v>44247</v>
      </c>
      <c r="I6" s="10">
        <f>IF(DAY(FebDom1)=1,FebDom1+14,FebDom1+21)</f>
        <v>44248</v>
      </c>
      <c r="J6" s="5"/>
      <c r="K6" s="53"/>
      <c r="L6" s="17">
        <v>22</v>
      </c>
      <c r="M6" s="57" t="s">
        <v>35</v>
      </c>
      <c r="N6" s="58"/>
    </row>
    <row r="7" spans="1:14" ht="18" customHeight="1">
      <c r="A7" s="4"/>
      <c r="B7" s="84"/>
      <c r="C7" s="41">
        <f>IF(DAY(FebDom1)=1,FebDom1+15,FebDom1+22)</f>
        <v>44249</v>
      </c>
      <c r="D7" s="41">
        <f>IF(DAY(FebDom1)=1,FebDom1+16,FebDom1+23)</f>
        <v>44250</v>
      </c>
      <c r="E7" s="41">
        <f>IF(DAY(FebDom1)=1,FebDom1+17,FebDom1+24)</f>
        <v>44251</v>
      </c>
      <c r="F7" s="41">
        <f>IF(DAY(FebDom1)=1,FebDom1+18,FebDom1+25)</f>
        <v>44252</v>
      </c>
      <c r="G7" s="41">
        <f>IF(DAY(FebDom1)=1,FebDom1+19,FebDom1+26)</f>
        <v>44253</v>
      </c>
      <c r="H7" s="10">
        <f>IF(DAY(FebDom1)=1,FebDom1+20,FebDom1+27)</f>
        <v>44254</v>
      </c>
      <c r="I7" s="10">
        <f>IF(DAY(FebDom1)=1,FebDom1+21,FebDom1+28)</f>
        <v>44255</v>
      </c>
      <c r="J7" s="5"/>
      <c r="K7" s="11"/>
      <c r="L7" s="17"/>
      <c r="M7" s="42"/>
      <c r="N7" s="43"/>
    </row>
    <row r="8" spans="1:14" ht="18.75" customHeight="1">
      <c r="A8" s="4"/>
      <c r="B8" s="84"/>
      <c r="C8" s="10">
        <f>IF(DAY(FebDom1)=1,FebDom1+22,FebDom1+29)</f>
        <v>44256</v>
      </c>
      <c r="D8" s="10">
        <f>IF(DAY(FebDom1)=1,FebDom1+23,FebDom1+30)</f>
        <v>44257</v>
      </c>
      <c r="E8" s="10">
        <f>IF(DAY(FebDom1)=1,FebDom1+24,FebDom1+31)</f>
        <v>44258</v>
      </c>
      <c r="F8" s="10">
        <f>IF(DAY(FebDom1)=1,FebDom1+25,FebDom1+32)</f>
        <v>44259</v>
      </c>
      <c r="G8" s="10">
        <f>IF(DAY(FebDom1)=1,FebDom1+26,FebDom1+33)</f>
        <v>44260</v>
      </c>
      <c r="H8" s="10">
        <f>IF(DAY(FebDom1)=1,FebDom1+27,FebDom1+34)</f>
        <v>44261</v>
      </c>
      <c r="I8" s="10">
        <f>IF(DAY(FebDom1)=1,FebDom1+28,FebDom1+35)</f>
        <v>44262</v>
      </c>
      <c r="J8" s="5"/>
      <c r="K8" s="11"/>
      <c r="L8" s="17"/>
      <c r="M8" s="42"/>
      <c r="N8" s="43"/>
    </row>
    <row r="9" spans="1:14" ht="18" customHeight="1">
      <c r="A9" s="4"/>
      <c r="B9" s="84"/>
      <c r="C9" s="10">
        <f>IF(DAY(FebDom1)=1,FebDom1+29,FebDom1+36)</f>
        <v>44263</v>
      </c>
      <c r="D9" s="10">
        <f>IF(DAY(FebDom1)=1,FebDom1+30,FebDom1+37)</f>
        <v>44264</v>
      </c>
      <c r="E9" s="10">
        <f>IF(DAY(FebDom1)=1,FebDom1+31,FebDom1+38)</f>
        <v>44265</v>
      </c>
      <c r="F9" s="10">
        <f>IF(DAY(FebDom1)=1,FebDom1+32,FebDom1+39)</f>
        <v>44266</v>
      </c>
      <c r="G9" s="10">
        <f>IF(DAY(FebDom1)=1,FebDom1+33,FebDom1+40)</f>
        <v>44267</v>
      </c>
      <c r="H9" s="10">
        <f>IF(DAY(FebDom1)=1,FebDom1+34,FebDom1+41)</f>
        <v>44268</v>
      </c>
      <c r="I9" s="10">
        <f>IF(DAY(FebDom1)=1,FebDom1+35,FebDom1+42)</f>
        <v>44269</v>
      </c>
      <c r="J9" s="5"/>
      <c r="K9" s="12"/>
      <c r="L9" s="18"/>
      <c r="M9" s="46"/>
      <c r="N9" s="47"/>
    </row>
    <row r="10" spans="1:14" ht="18" customHeight="1">
      <c r="A10" s="4"/>
      <c r="B10" s="85"/>
      <c r="C10" s="23"/>
      <c r="D10" s="23"/>
      <c r="E10" s="23"/>
      <c r="F10" s="23"/>
      <c r="G10" s="23"/>
      <c r="H10" s="23"/>
      <c r="I10" s="23"/>
      <c r="J10" s="24"/>
      <c r="K10" s="52" t="s">
        <v>12</v>
      </c>
      <c r="L10" s="16">
        <v>2</v>
      </c>
      <c r="M10" s="63" t="s">
        <v>34</v>
      </c>
      <c r="N10" s="64"/>
    </row>
    <row r="11" spans="1:14" ht="18" customHeight="1">
      <c r="A11" s="4"/>
      <c r="B11" s="86" t="s">
        <v>10</v>
      </c>
      <c r="C11" s="87"/>
      <c r="D11" s="87"/>
      <c r="E11" s="87"/>
      <c r="F11" s="87"/>
      <c r="G11" s="87"/>
      <c r="H11" s="87"/>
      <c r="I11" s="87"/>
      <c r="J11" s="88"/>
      <c r="K11" s="53"/>
      <c r="L11" s="17">
        <v>9</v>
      </c>
      <c r="M11" s="57" t="s">
        <v>37</v>
      </c>
      <c r="N11" s="58"/>
    </row>
    <row r="12" spans="1:14" ht="18" customHeight="1">
      <c r="A12" s="4"/>
      <c r="B12" s="86"/>
      <c r="C12" s="87"/>
      <c r="D12" s="87"/>
      <c r="E12" s="87"/>
      <c r="F12" s="87"/>
      <c r="G12" s="87"/>
      <c r="H12" s="87"/>
      <c r="I12" s="87"/>
      <c r="J12" s="88"/>
      <c r="K12" s="53"/>
      <c r="L12" s="17">
        <v>16</v>
      </c>
      <c r="M12" s="57" t="s">
        <v>35</v>
      </c>
      <c r="N12" s="58"/>
    </row>
    <row r="13" spans="1:14" ht="18" customHeight="1">
      <c r="B13" s="3" t="s">
        <v>11</v>
      </c>
      <c r="C13" s="74" t="s">
        <v>12</v>
      </c>
      <c r="D13" s="76"/>
      <c r="E13" s="74" t="s">
        <v>13</v>
      </c>
      <c r="F13" s="76"/>
      <c r="G13" s="74" t="s">
        <v>14</v>
      </c>
      <c r="H13" s="76"/>
      <c r="I13" s="74" t="s">
        <v>15</v>
      </c>
      <c r="J13" s="75"/>
      <c r="K13" s="11"/>
      <c r="L13" s="17">
        <v>23</v>
      </c>
      <c r="M13" s="42" t="s">
        <v>41</v>
      </c>
      <c r="N13" s="43"/>
    </row>
    <row r="14" spans="1:14" ht="18" customHeight="1">
      <c r="B14" s="8"/>
      <c r="C14" s="59"/>
      <c r="D14" s="60"/>
      <c r="E14" s="59"/>
      <c r="F14" s="60"/>
      <c r="G14" s="59"/>
      <c r="H14" s="60"/>
      <c r="I14" s="59"/>
      <c r="J14" s="73"/>
      <c r="K14" s="11"/>
      <c r="L14" s="17"/>
      <c r="M14" s="42" t="s">
        <v>40</v>
      </c>
      <c r="N14" s="43"/>
    </row>
    <row r="15" spans="1:14" ht="18" customHeight="1">
      <c r="B15" s="6"/>
      <c r="C15" s="61"/>
      <c r="D15" s="62"/>
      <c r="E15" s="61"/>
      <c r="F15" s="62"/>
      <c r="G15" s="61"/>
      <c r="H15" s="62"/>
      <c r="I15" s="77"/>
      <c r="J15" s="78"/>
      <c r="K15" s="13"/>
      <c r="L15" s="19"/>
      <c r="M15" s="46"/>
      <c r="N15" s="47"/>
    </row>
    <row r="16" spans="1:14" ht="18" customHeight="1">
      <c r="B16" s="8"/>
      <c r="C16" s="59"/>
      <c r="D16" s="60"/>
      <c r="E16" s="59"/>
      <c r="F16" s="60"/>
      <c r="G16" s="59"/>
      <c r="H16" s="60"/>
      <c r="I16" s="91"/>
      <c r="J16" s="92"/>
      <c r="K16" s="48" t="s">
        <v>13</v>
      </c>
      <c r="L16" s="16">
        <v>3</v>
      </c>
      <c r="M16" s="63" t="s">
        <v>34</v>
      </c>
      <c r="N16" s="64"/>
    </row>
    <row r="17" spans="2:14" ht="18" customHeight="1">
      <c r="B17" s="6"/>
      <c r="C17" s="61"/>
      <c r="D17" s="62"/>
      <c r="E17" s="61"/>
      <c r="F17" s="62"/>
      <c r="G17" s="61"/>
      <c r="H17" s="62"/>
      <c r="I17" s="77"/>
      <c r="J17" s="78"/>
      <c r="K17" s="49"/>
      <c r="L17" s="17">
        <v>10</v>
      </c>
      <c r="M17" s="57" t="s">
        <v>37</v>
      </c>
      <c r="N17" s="58"/>
    </row>
    <row r="18" spans="2:14" ht="18" customHeight="1">
      <c r="B18" s="9"/>
      <c r="C18" s="79"/>
      <c r="D18" s="80"/>
      <c r="E18" s="79"/>
      <c r="F18" s="80"/>
      <c r="G18" s="79"/>
      <c r="H18" s="80"/>
      <c r="I18" s="79"/>
      <c r="J18" s="81"/>
      <c r="K18" s="49"/>
      <c r="L18" s="17">
        <v>17</v>
      </c>
      <c r="M18" s="57" t="s">
        <v>35</v>
      </c>
      <c r="N18" s="58"/>
    </row>
    <row r="19" spans="2:14" ht="18" customHeight="1">
      <c r="B19" s="6"/>
      <c r="C19" s="61"/>
      <c r="D19" s="62"/>
      <c r="E19" s="61"/>
      <c r="F19" s="62"/>
      <c r="G19" s="61"/>
      <c r="H19" s="62"/>
      <c r="I19" s="77"/>
      <c r="J19" s="78"/>
      <c r="K19" s="11"/>
      <c r="L19" s="17">
        <v>24</v>
      </c>
      <c r="M19" s="42" t="s">
        <v>42</v>
      </c>
      <c r="N19" s="43"/>
    </row>
    <row r="20" spans="2:14" ht="18" customHeight="1">
      <c r="B20" s="8"/>
      <c r="C20" s="59"/>
      <c r="D20" s="60"/>
      <c r="E20" s="59"/>
      <c r="F20" s="60"/>
      <c r="G20" s="59"/>
      <c r="H20" s="60"/>
      <c r="I20" s="59"/>
      <c r="J20" s="73"/>
      <c r="K20" s="11"/>
      <c r="L20" s="17"/>
      <c r="M20" s="42" t="s">
        <v>43</v>
      </c>
      <c r="N20" s="43"/>
    </row>
    <row r="21" spans="2:14" ht="18" customHeight="1">
      <c r="B21" s="6"/>
      <c r="C21" s="61"/>
      <c r="D21" s="62"/>
      <c r="E21" s="61"/>
      <c r="F21" s="62"/>
      <c r="G21" s="61"/>
      <c r="H21" s="62"/>
      <c r="I21" s="89"/>
      <c r="J21" s="90"/>
      <c r="K21" s="13"/>
      <c r="L21" s="19"/>
      <c r="M21" s="46"/>
      <c r="N21" s="47"/>
    </row>
    <row r="22" spans="2:14" ht="18" customHeight="1">
      <c r="B22" s="8"/>
      <c r="C22" s="59"/>
      <c r="D22" s="60"/>
      <c r="E22" s="59"/>
      <c r="F22" s="60"/>
      <c r="G22" s="59"/>
      <c r="H22" s="60"/>
      <c r="I22" s="59"/>
      <c r="J22" s="73"/>
      <c r="K22" s="48" t="s">
        <v>14</v>
      </c>
      <c r="L22" s="16">
        <v>4</v>
      </c>
      <c r="M22" s="63" t="s">
        <v>34</v>
      </c>
      <c r="N22" s="64"/>
    </row>
    <row r="23" spans="2:14" ht="18" customHeight="1">
      <c r="B23" s="6"/>
      <c r="C23" s="61"/>
      <c r="D23" s="62"/>
      <c r="E23" s="61"/>
      <c r="F23" s="62"/>
      <c r="G23" s="61"/>
      <c r="H23" s="62"/>
      <c r="I23" s="77"/>
      <c r="J23" s="78"/>
      <c r="K23" s="49"/>
      <c r="L23" s="17">
        <v>11</v>
      </c>
      <c r="M23" s="57" t="s">
        <v>37</v>
      </c>
      <c r="N23" s="58"/>
    </row>
    <row r="24" spans="2:14" ht="18" customHeight="1">
      <c r="B24" s="8"/>
      <c r="C24" s="59"/>
      <c r="D24" s="60"/>
      <c r="E24" s="59"/>
      <c r="F24" s="60"/>
      <c r="G24" s="59"/>
      <c r="H24" s="60"/>
      <c r="I24" s="59"/>
      <c r="J24" s="73"/>
      <c r="K24" s="49"/>
      <c r="L24" s="17">
        <v>18</v>
      </c>
      <c r="M24" s="57" t="s">
        <v>35</v>
      </c>
      <c r="N24" s="58"/>
    </row>
    <row r="25" spans="2:14" ht="18" customHeight="1">
      <c r="B25" s="6"/>
      <c r="C25" s="61"/>
      <c r="D25" s="62"/>
      <c r="E25" s="61"/>
      <c r="F25" s="62"/>
      <c r="G25" s="61"/>
      <c r="H25" s="62"/>
      <c r="I25" s="77"/>
      <c r="J25" s="78"/>
      <c r="K25" s="49"/>
      <c r="L25" s="17">
        <v>25</v>
      </c>
      <c r="M25" s="42" t="s">
        <v>44</v>
      </c>
      <c r="N25" s="43"/>
    </row>
    <row r="26" spans="2:14" ht="18" customHeight="1">
      <c r="B26" s="8"/>
      <c r="C26" s="59"/>
      <c r="D26" s="60"/>
      <c r="E26" s="59"/>
      <c r="F26" s="60"/>
      <c r="G26" s="59"/>
      <c r="H26" s="60"/>
      <c r="I26" s="59"/>
      <c r="J26" s="73"/>
      <c r="K26" s="11"/>
      <c r="L26" s="17"/>
      <c r="M26" s="42" t="s">
        <v>43</v>
      </c>
      <c r="N26" s="43"/>
    </row>
    <row r="27" spans="2:14" ht="18" customHeight="1">
      <c r="B27" s="6"/>
      <c r="C27" s="61"/>
      <c r="D27" s="62"/>
      <c r="E27" s="61"/>
      <c r="F27" s="62"/>
      <c r="G27" s="61"/>
      <c r="H27" s="62"/>
      <c r="I27" s="77"/>
      <c r="J27" s="78"/>
      <c r="K27" s="13"/>
      <c r="L27" s="19"/>
      <c r="M27" s="46"/>
      <c r="N27" s="47"/>
    </row>
    <row r="28" spans="2:14" ht="18" customHeight="1">
      <c r="B28" s="8"/>
      <c r="C28" s="59"/>
      <c r="D28" s="60"/>
      <c r="E28" s="59"/>
      <c r="F28" s="60"/>
      <c r="G28" s="59"/>
      <c r="H28" s="60"/>
      <c r="I28" s="59"/>
      <c r="J28" s="73"/>
      <c r="K28" s="52" t="s">
        <v>15</v>
      </c>
      <c r="L28" s="16">
        <v>5</v>
      </c>
      <c r="M28" s="63" t="s">
        <v>34</v>
      </c>
      <c r="N28" s="64"/>
    </row>
    <row r="29" spans="2:14" ht="18" customHeight="1">
      <c r="B29" s="6"/>
      <c r="C29" s="61"/>
      <c r="D29" s="62"/>
      <c r="E29" s="61"/>
      <c r="F29" s="62"/>
      <c r="G29" s="61"/>
      <c r="H29" s="62"/>
      <c r="I29" s="61"/>
      <c r="J29" s="82"/>
      <c r="K29" s="53"/>
      <c r="L29" s="17">
        <v>12</v>
      </c>
      <c r="M29" s="57" t="s">
        <v>37</v>
      </c>
      <c r="N29" s="58"/>
    </row>
    <row r="30" spans="2:14" ht="18" customHeight="1">
      <c r="B30" s="6"/>
      <c r="C30" s="61"/>
      <c r="D30" s="62"/>
      <c r="E30" s="61"/>
      <c r="F30" s="62"/>
      <c r="G30" s="61"/>
      <c r="H30" s="62"/>
      <c r="I30" s="61"/>
      <c r="J30" s="82"/>
      <c r="K30" s="53"/>
      <c r="L30" s="17">
        <v>19</v>
      </c>
      <c r="M30" s="57" t="s">
        <v>35</v>
      </c>
      <c r="N30" s="58"/>
    </row>
    <row r="31" spans="2:14" ht="15" customHeight="1">
      <c r="B31" s="93" t="s">
        <v>26</v>
      </c>
      <c r="C31" s="94"/>
      <c r="D31" s="94"/>
      <c r="E31" s="94"/>
      <c r="F31" s="94"/>
      <c r="G31" s="94"/>
      <c r="H31" s="94"/>
      <c r="I31" s="94"/>
      <c r="J31" s="95"/>
      <c r="K31" s="14"/>
      <c r="L31" s="17">
        <v>26</v>
      </c>
      <c r="M31" s="42" t="s">
        <v>45</v>
      </c>
      <c r="N31" s="43"/>
    </row>
    <row r="32" spans="2:14" ht="28.5" customHeight="1">
      <c r="B32" s="96"/>
      <c r="C32" s="97"/>
      <c r="D32" s="97"/>
      <c r="E32" s="97"/>
      <c r="F32" s="97"/>
      <c r="G32" s="97"/>
      <c r="H32" s="97"/>
      <c r="I32" s="97"/>
      <c r="J32" s="98"/>
      <c r="K32" s="14"/>
      <c r="L32" s="17"/>
      <c r="M32" s="42" t="s">
        <v>46</v>
      </c>
      <c r="N32" s="43"/>
    </row>
    <row r="33" spans="2:14" ht="18" customHeight="1">
      <c r="B33" s="96"/>
      <c r="C33" s="97"/>
      <c r="D33" s="97"/>
      <c r="E33" s="97"/>
      <c r="F33" s="97"/>
      <c r="G33" s="97"/>
      <c r="H33" s="97"/>
      <c r="I33" s="97"/>
      <c r="J33" s="98"/>
      <c r="K33" s="54"/>
      <c r="L33" s="16"/>
      <c r="M33" s="55"/>
      <c r="N33" s="56"/>
    </row>
    <row r="34" spans="2:14" ht="16.5" customHeight="1">
      <c r="K34" s="53"/>
      <c r="L34" s="17"/>
    </row>
    <row r="35" spans="2:14" ht="16.5" customHeight="1">
      <c r="K35" s="53"/>
      <c r="L35" s="17"/>
      <c r="M35" s="42"/>
      <c r="N35" s="43"/>
    </row>
    <row r="36" spans="2:14" ht="16.5" customHeight="1">
      <c r="K36" s="11"/>
      <c r="L36" s="17"/>
      <c r="M36" s="42"/>
      <c r="N36" s="43"/>
    </row>
    <row r="37" spans="2:14" ht="16.5" customHeight="1">
      <c r="K37" s="11"/>
      <c r="L37" s="17"/>
      <c r="M37" s="42"/>
      <c r="N37" s="43"/>
    </row>
    <row r="38" spans="2:14" ht="16.5" customHeight="1">
      <c r="K38" s="12"/>
      <c r="L38" s="18"/>
      <c r="M38" s="46"/>
      <c r="N38" s="47"/>
    </row>
    <row r="39" spans="2:14" ht="16.5" customHeight="1">
      <c r="K39" s="52"/>
      <c r="L39" s="16"/>
      <c r="M39" s="50"/>
      <c r="N39" s="51"/>
    </row>
    <row r="40" spans="2:14" ht="16.5" customHeight="1">
      <c r="K40" s="53"/>
      <c r="L40" s="17"/>
      <c r="M40" s="42"/>
      <c r="N40" s="43"/>
    </row>
    <row r="41" spans="2:14" ht="16.5" customHeight="1">
      <c r="K41" s="53"/>
      <c r="L41" s="17"/>
      <c r="M41" s="42"/>
      <c r="N41" s="43"/>
    </row>
    <row r="42" spans="2:14" ht="16.5" customHeight="1">
      <c r="K42" s="11"/>
      <c r="L42" s="17"/>
      <c r="M42" s="42"/>
      <c r="N42" s="43"/>
    </row>
    <row r="43" spans="2:14" ht="16.5" customHeight="1">
      <c r="K43" s="11"/>
      <c r="L43" s="17"/>
      <c r="M43" s="42"/>
      <c r="N43" s="43"/>
    </row>
    <row r="44" spans="2:14" ht="16.5" customHeight="1">
      <c r="K44" s="13"/>
      <c r="L44" s="19"/>
      <c r="M44" s="46"/>
      <c r="N44" s="47"/>
    </row>
    <row r="45" spans="2:14" ht="16.5" customHeight="1">
      <c r="K45" s="48"/>
      <c r="L45" s="16"/>
      <c r="M45" s="50"/>
      <c r="N45" s="51"/>
    </row>
    <row r="46" spans="2:14" ht="16.5" customHeight="1">
      <c r="K46" s="49"/>
      <c r="L46" s="17"/>
      <c r="M46" s="42"/>
      <c r="N46" s="43"/>
    </row>
    <row r="47" spans="2:14" ht="16.5" customHeight="1">
      <c r="K47" s="49"/>
      <c r="L47" s="17"/>
      <c r="M47" s="42"/>
      <c r="N47" s="43"/>
    </row>
    <row r="48" spans="2:14" ht="16.5" customHeight="1">
      <c r="K48" s="11"/>
      <c r="L48" s="17"/>
      <c r="M48" s="42"/>
      <c r="N48" s="43"/>
    </row>
    <row r="49" spans="11:14" ht="16.5" customHeight="1">
      <c r="K49" s="11"/>
      <c r="L49" s="17"/>
      <c r="M49" s="42"/>
      <c r="N49" s="43"/>
    </row>
    <row r="50" spans="11:14" ht="16.5" customHeight="1">
      <c r="K50" s="13"/>
      <c r="L50" s="19"/>
      <c r="M50" s="46"/>
      <c r="N50" s="47"/>
    </row>
    <row r="51" spans="11:14" ht="16.5" customHeight="1">
      <c r="K51" s="48"/>
      <c r="L51" s="16"/>
      <c r="M51" s="50"/>
      <c r="N51" s="51"/>
    </row>
    <row r="52" spans="11:14" ht="16.5" customHeight="1">
      <c r="K52" s="49"/>
      <c r="L52" s="17"/>
      <c r="M52" s="42"/>
      <c r="N52" s="43"/>
    </row>
    <row r="53" spans="11:14" ht="16.5" customHeight="1">
      <c r="K53" s="49"/>
      <c r="L53" s="17"/>
      <c r="M53" s="42"/>
      <c r="N53" s="43"/>
    </row>
    <row r="54" spans="11:14" ht="16.5" customHeight="1">
      <c r="K54" s="49"/>
      <c r="L54" s="17"/>
      <c r="M54" s="42"/>
      <c r="N54" s="43"/>
    </row>
    <row r="55" spans="11:14" ht="16.5" customHeight="1">
      <c r="K55" s="11"/>
      <c r="L55" s="17"/>
      <c r="M55" s="42"/>
      <c r="N55" s="43"/>
    </row>
    <row r="56" spans="11:14" ht="16.5" customHeight="1">
      <c r="K56" s="13"/>
      <c r="L56" s="19"/>
      <c r="M56" s="46"/>
      <c r="N56" s="47"/>
    </row>
    <row r="57" spans="11:14" ht="16.5" customHeight="1">
      <c r="K57" s="52"/>
      <c r="L57" s="16"/>
      <c r="M57" s="50"/>
      <c r="N57" s="51"/>
    </row>
    <row r="58" spans="11:14" ht="16.5" customHeight="1">
      <c r="K58" s="53"/>
      <c r="L58" s="17"/>
      <c r="M58" s="42"/>
      <c r="N58" s="43"/>
    </row>
    <row r="59" spans="11:14" ht="16.5" customHeight="1">
      <c r="K59" s="53"/>
      <c r="L59" s="17"/>
      <c r="M59" s="42"/>
      <c r="N59" s="43"/>
    </row>
    <row r="60" spans="11:14" ht="16.5" customHeight="1">
      <c r="K60" s="14"/>
      <c r="L60" s="17"/>
      <c r="M60" s="99"/>
      <c r="N60" s="100"/>
    </row>
    <row r="61" spans="11:14" ht="16.5" customHeight="1">
      <c r="K61" s="14"/>
      <c r="L61" s="17"/>
      <c r="M61" s="99"/>
      <c r="N61" s="100"/>
    </row>
    <row r="62" spans="11:14" ht="16.5" customHeight="1">
      <c r="K62" s="54"/>
      <c r="L62" s="16"/>
      <c r="M62" s="55"/>
      <c r="N62" s="56"/>
    </row>
    <row r="63" spans="11:14" ht="16.5" customHeight="1">
      <c r="K63" s="53"/>
      <c r="L63" s="17"/>
    </row>
    <row r="64" spans="11:14" ht="16.5" customHeight="1">
      <c r="K64" s="53"/>
      <c r="L64" s="17"/>
      <c r="M64" s="42"/>
      <c r="N64" s="43"/>
    </row>
    <row r="65" spans="11:14" ht="16.5" customHeight="1">
      <c r="K65" s="11"/>
      <c r="L65" s="17"/>
      <c r="M65" s="42"/>
      <c r="N65" s="43"/>
    </row>
    <row r="66" spans="11:14" ht="16.5" customHeight="1">
      <c r="K66" s="11"/>
      <c r="L66" s="17"/>
      <c r="M66" s="42"/>
      <c r="N66" s="43"/>
    </row>
    <row r="67" spans="11:14" ht="16.5" customHeight="1">
      <c r="K67" s="12"/>
      <c r="L67" s="18"/>
      <c r="M67" s="46"/>
      <c r="N67" s="47"/>
    </row>
    <row r="68" spans="11:14" ht="16.5" customHeight="1">
      <c r="K68" s="52"/>
      <c r="L68" s="16"/>
      <c r="M68" s="50"/>
      <c r="N68" s="51"/>
    </row>
    <row r="69" spans="11:14" ht="16.5" customHeight="1">
      <c r="K69" s="53"/>
      <c r="L69" s="17"/>
      <c r="M69" s="42"/>
      <c r="N69" s="43"/>
    </row>
    <row r="70" spans="11:14" ht="16.5" customHeight="1">
      <c r="K70" s="53"/>
      <c r="L70" s="17"/>
      <c r="M70" s="42"/>
      <c r="N70" s="43"/>
    </row>
    <row r="71" spans="11:14" ht="16.5" customHeight="1">
      <c r="K71" s="11"/>
      <c r="L71" s="17"/>
      <c r="M71" s="42"/>
      <c r="N71" s="43"/>
    </row>
    <row r="72" spans="11:14" ht="16.5" customHeight="1">
      <c r="K72" s="11"/>
      <c r="L72" s="17"/>
      <c r="M72" s="42"/>
      <c r="N72" s="43"/>
    </row>
    <row r="73" spans="11:14" ht="16.5" customHeight="1">
      <c r="K73" s="13"/>
      <c r="L73" s="19"/>
      <c r="M73" s="46"/>
      <c r="N73" s="47"/>
    </row>
    <row r="74" spans="11:14" ht="16.5" customHeight="1">
      <c r="K74" s="48"/>
      <c r="L74" s="16"/>
      <c r="M74" s="50"/>
      <c r="N74" s="51"/>
    </row>
    <row r="75" spans="11:14" ht="16.5" customHeight="1">
      <c r="K75" s="49"/>
      <c r="L75" s="17"/>
      <c r="M75" s="42"/>
      <c r="N75" s="43"/>
    </row>
    <row r="76" spans="11:14" ht="16.5" customHeight="1">
      <c r="K76" s="49"/>
      <c r="L76" s="17"/>
      <c r="M76" s="42"/>
      <c r="N76" s="43"/>
    </row>
    <row r="77" spans="11:14" ht="16.5" customHeight="1">
      <c r="K77" s="11"/>
      <c r="L77" s="17"/>
      <c r="M77" s="42"/>
      <c r="N77" s="43"/>
    </row>
    <row r="78" spans="11:14" ht="16.5" customHeight="1">
      <c r="K78" s="11"/>
      <c r="L78" s="17"/>
      <c r="M78" s="42"/>
      <c r="N78" s="43"/>
    </row>
    <row r="79" spans="11:14" ht="16.5" customHeight="1">
      <c r="K79" s="13"/>
      <c r="L79" s="19"/>
      <c r="M79" s="46"/>
      <c r="N79" s="47"/>
    </row>
    <row r="80" spans="11:14" ht="16.5" customHeight="1">
      <c r="K80" s="48"/>
      <c r="L80" s="16"/>
      <c r="M80" s="50"/>
      <c r="N80" s="51"/>
    </row>
    <row r="81" spans="11:14" ht="16.5" customHeight="1">
      <c r="K81" s="49"/>
      <c r="L81" s="17"/>
      <c r="M81" s="42"/>
      <c r="N81" s="43"/>
    </row>
    <row r="82" spans="11:14" ht="16.5" customHeight="1">
      <c r="K82" s="49"/>
      <c r="L82" s="17"/>
      <c r="M82" s="42"/>
      <c r="N82" s="43"/>
    </row>
    <row r="83" spans="11:14" ht="16.5" customHeight="1">
      <c r="K83" s="49"/>
      <c r="L83" s="17"/>
      <c r="M83" s="42"/>
      <c r="N83" s="43"/>
    </row>
    <row r="84" spans="11:14" ht="16.5" customHeight="1">
      <c r="K84" s="11"/>
      <c r="L84" s="17"/>
      <c r="M84" s="42"/>
      <c r="N84" s="43"/>
    </row>
    <row r="85" spans="11:14" ht="16.5" customHeight="1">
      <c r="K85" s="13"/>
      <c r="L85" s="19"/>
      <c r="M85" s="46"/>
      <c r="N85" s="47"/>
    </row>
    <row r="86" spans="11:14" ht="16.5" customHeight="1">
      <c r="K86" s="52"/>
      <c r="L86" s="16"/>
      <c r="M86" s="50"/>
      <c r="N86" s="51"/>
    </row>
    <row r="87" spans="11:14" ht="16.5" customHeight="1">
      <c r="K87" s="53"/>
      <c r="L87" s="17"/>
      <c r="M87" s="42"/>
      <c r="N87" s="43"/>
    </row>
    <row r="88" spans="11:14" ht="16.5" customHeight="1">
      <c r="K88" s="53"/>
      <c r="L88" s="17"/>
      <c r="M88" s="42"/>
      <c r="N88" s="43"/>
    </row>
    <row r="89" spans="11:14" ht="16.5" customHeight="1">
      <c r="K89" s="14"/>
      <c r="L89" s="17"/>
      <c r="M89" s="99"/>
      <c r="N89" s="100"/>
    </row>
    <row r="90" spans="11:14" ht="16.5" customHeight="1">
      <c r="K90" s="14"/>
      <c r="L90" s="17"/>
      <c r="M90" s="99"/>
      <c r="N90" s="100"/>
    </row>
    <row r="91" spans="11:14" ht="16.5" customHeight="1">
      <c r="K91" s="54"/>
      <c r="L91" s="16"/>
      <c r="M91" s="55"/>
      <c r="N91" s="56"/>
    </row>
    <row r="92" spans="11:14" ht="16.5" customHeight="1">
      <c r="K92" s="53"/>
      <c r="L92" s="17"/>
    </row>
    <row r="93" spans="11:14" ht="16.5" customHeight="1">
      <c r="K93" s="53"/>
      <c r="L93" s="17"/>
      <c r="M93" s="42"/>
      <c r="N93" s="43"/>
    </row>
    <row r="94" spans="11:14" ht="16.5" customHeight="1">
      <c r="K94" s="11"/>
      <c r="L94" s="17"/>
      <c r="M94" s="42"/>
      <c r="N94" s="43"/>
    </row>
    <row r="95" spans="11:14" ht="16.5" customHeight="1">
      <c r="K95" s="11"/>
      <c r="L95" s="17"/>
      <c r="M95" s="42"/>
      <c r="N95" s="43"/>
    </row>
    <row r="96" spans="11:14" ht="16.5" customHeight="1">
      <c r="K96" s="12"/>
      <c r="L96" s="18"/>
      <c r="M96" s="46"/>
      <c r="N96" s="47"/>
    </row>
    <row r="97" spans="11:14" ht="16.5" customHeight="1">
      <c r="K97" s="52"/>
      <c r="L97" s="16"/>
      <c r="M97" s="50"/>
      <c r="N97" s="51"/>
    </row>
    <row r="98" spans="11:14" ht="16.5" customHeight="1">
      <c r="K98" s="53"/>
      <c r="L98" s="17"/>
      <c r="M98" s="42"/>
      <c r="N98" s="43"/>
    </row>
    <row r="99" spans="11:14" ht="16.5" customHeight="1">
      <c r="K99" s="53"/>
      <c r="L99" s="17"/>
      <c r="M99" s="42"/>
      <c r="N99" s="43"/>
    </row>
    <row r="100" spans="11:14" ht="16.5" customHeight="1">
      <c r="K100" s="11"/>
      <c r="L100" s="17"/>
      <c r="M100" s="42"/>
      <c r="N100" s="43"/>
    </row>
    <row r="101" spans="11:14" ht="16.5" customHeight="1">
      <c r="K101" s="11"/>
      <c r="L101" s="17"/>
      <c r="M101" s="42"/>
      <c r="N101" s="43"/>
    </row>
    <row r="102" spans="11:14" ht="16.5" customHeight="1">
      <c r="K102" s="13"/>
      <c r="L102" s="19"/>
      <c r="M102" s="46"/>
      <c r="N102" s="47"/>
    </row>
    <row r="103" spans="11:14" ht="16.5" customHeight="1">
      <c r="K103" s="48"/>
      <c r="L103" s="16"/>
      <c r="M103" s="50"/>
      <c r="N103" s="51"/>
    </row>
    <row r="104" spans="11:14" ht="16.5" customHeight="1">
      <c r="K104" s="49"/>
      <c r="L104" s="17"/>
      <c r="M104" s="42"/>
      <c r="N104" s="43"/>
    </row>
    <row r="105" spans="11:14" ht="16.5" customHeight="1">
      <c r="K105" s="49"/>
      <c r="L105" s="17"/>
      <c r="M105" s="42"/>
      <c r="N105" s="43"/>
    </row>
    <row r="106" spans="11:14" ht="16.5" customHeight="1">
      <c r="K106" s="11"/>
      <c r="L106" s="17"/>
      <c r="M106" s="42"/>
      <c r="N106" s="43"/>
    </row>
    <row r="107" spans="11:14" ht="16.5" customHeight="1">
      <c r="K107" s="11"/>
      <c r="L107" s="17"/>
      <c r="M107" s="42"/>
      <c r="N107" s="43"/>
    </row>
    <row r="108" spans="11:14" ht="16.5" customHeight="1">
      <c r="K108" s="13"/>
      <c r="L108" s="19"/>
      <c r="M108" s="46"/>
      <c r="N108" s="47"/>
    </row>
    <row r="109" spans="11:14" ht="16.5" customHeight="1">
      <c r="K109" s="48"/>
      <c r="L109" s="16"/>
      <c r="M109" s="50"/>
      <c r="N109" s="51"/>
    </row>
    <row r="110" spans="11:14" ht="16.5" customHeight="1">
      <c r="K110" s="49"/>
      <c r="L110" s="17"/>
      <c r="M110" s="42"/>
      <c r="N110" s="43"/>
    </row>
    <row r="111" spans="11:14" ht="16.5" customHeight="1">
      <c r="K111" s="49"/>
      <c r="L111" s="17"/>
      <c r="M111" s="42"/>
      <c r="N111" s="43"/>
    </row>
    <row r="112" spans="11:14" ht="16.5" customHeight="1">
      <c r="K112" s="49"/>
      <c r="L112" s="17"/>
      <c r="M112" s="42"/>
      <c r="N112" s="43"/>
    </row>
    <row r="113" spans="11:14" ht="16.5" customHeight="1">
      <c r="K113" s="11"/>
      <c r="L113" s="17"/>
      <c r="M113" s="42"/>
      <c r="N113" s="43"/>
    </row>
    <row r="114" spans="11:14" ht="16.5" customHeight="1">
      <c r="K114" s="13"/>
      <c r="L114" s="19"/>
      <c r="M114" s="46"/>
      <c r="N114" s="47"/>
    </row>
    <row r="115" spans="11:14" ht="16.5" customHeight="1">
      <c r="K115" s="52"/>
      <c r="L115" s="16"/>
      <c r="M115" s="50"/>
      <c r="N115" s="51"/>
    </row>
    <row r="116" spans="11:14" ht="16.5" customHeight="1">
      <c r="K116" s="53"/>
      <c r="L116" s="17"/>
      <c r="M116" s="42"/>
      <c r="N116" s="43"/>
    </row>
    <row r="117" spans="11:14" ht="16.5" customHeight="1">
      <c r="K117" s="53"/>
      <c r="L117" s="17"/>
      <c r="M117" s="42"/>
      <c r="N117" s="43"/>
    </row>
    <row r="118" spans="11:14" ht="16.5" customHeight="1">
      <c r="K118" s="14"/>
      <c r="L118" s="17"/>
      <c r="M118" s="99"/>
      <c r="N118" s="100"/>
    </row>
    <row r="119" spans="11:14" ht="16.5" customHeight="1">
      <c r="K119" s="14"/>
      <c r="L119" s="17"/>
      <c r="M119" s="99"/>
      <c r="N119" s="100"/>
    </row>
  </sheetData>
  <mergeCells count="209">
    <mergeCell ref="M11:N11"/>
    <mergeCell ref="M17:N17"/>
    <mergeCell ref="M23:N23"/>
    <mergeCell ref="M35:N35"/>
    <mergeCell ref="C30:D30"/>
    <mergeCell ref="E30:F30"/>
    <mergeCell ref="G30:H30"/>
    <mergeCell ref="I30:J30"/>
    <mergeCell ref="M33:N33"/>
    <mergeCell ref="M31:N31"/>
    <mergeCell ref="M32:N32"/>
    <mergeCell ref="M30:N30"/>
    <mergeCell ref="B31:J33"/>
    <mergeCell ref="C28:D28"/>
    <mergeCell ref="E28:F28"/>
    <mergeCell ref="G28:H28"/>
    <mergeCell ref="I28:J28"/>
    <mergeCell ref="K28:K30"/>
    <mergeCell ref="K33:K35"/>
    <mergeCell ref="M28:N28"/>
    <mergeCell ref="C29:D29"/>
    <mergeCell ref="E29:F29"/>
    <mergeCell ref="G29:H29"/>
    <mergeCell ref="I29:J29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3:D23"/>
    <mergeCell ref="E23:F23"/>
    <mergeCell ref="G23:H23"/>
    <mergeCell ref="I23:J23"/>
    <mergeCell ref="C21:D21"/>
    <mergeCell ref="E21:F21"/>
    <mergeCell ref="G21:H21"/>
    <mergeCell ref="I21:J21"/>
    <mergeCell ref="C22:D22"/>
    <mergeCell ref="E22:F22"/>
    <mergeCell ref="C20:D20"/>
    <mergeCell ref="E20:F20"/>
    <mergeCell ref="G20:H20"/>
    <mergeCell ref="I20:J20"/>
    <mergeCell ref="M20:N20"/>
    <mergeCell ref="M22:N22"/>
    <mergeCell ref="M21:N21"/>
    <mergeCell ref="G22:H22"/>
    <mergeCell ref="I22:J22"/>
    <mergeCell ref="K22:K25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B2:B10"/>
    <mergeCell ref="K2:M3"/>
    <mergeCell ref="K4:K6"/>
    <mergeCell ref="M4:N4"/>
    <mergeCell ref="M6:N6"/>
    <mergeCell ref="M7:N7"/>
    <mergeCell ref="M8:N8"/>
    <mergeCell ref="M9:N9"/>
    <mergeCell ref="K10:K12"/>
    <mergeCell ref="M5:N5"/>
    <mergeCell ref="M42:N42"/>
    <mergeCell ref="M43:N43"/>
    <mergeCell ref="M10:N10"/>
    <mergeCell ref="B11:J12"/>
    <mergeCell ref="M12:N12"/>
    <mergeCell ref="C13:D13"/>
    <mergeCell ref="E13:F13"/>
    <mergeCell ref="G13:H13"/>
    <mergeCell ref="I13:J13"/>
    <mergeCell ref="M13:N13"/>
    <mergeCell ref="M36:N36"/>
    <mergeCell ref="M37:N37"/>
    <mergeCell ref="M38:N38"/>
    <mergeCell ref="K39:K41"/>
    <mergeCell ref="M39:N39"/>
    <mergeCell ref="M40:N40"/>
    <mergeCell ref="M41:N41"/>
    <mergeCell ref="M50:N50"/>
    <mergeCell ref="K51:K54"/>
    <mergeCell ref="M51:N51"/>
    <mergeCell ref="M52:N52"/>
    <mergeCell ref="M53:N53"/>
    <mergeCell ref="M54:N54"/>
    <mergeCell ref="K62:K64"/>
    <mergeCell ref="M62:N62"/>
    <mergeCell ref="M64:N64"/>
    <mergeCell ref="M44:N44"/>
    <mergeCell ref="K45:K47"/>
    <mergeCell ref="M45:N45"/>
    <mergeCell ref="M46:N46"/>
    <mergeCell ref="M47:N47"/>
    <mergeCell ref="M48:N48"/>
    <mergeCell ref="M49:N49"/>
    <mergeCell ref="K57:K59"/>
    <mergeCell ref="M57:N57"/>
    <mergeCell ref="M58:N58"/>
    <mergeCell ref="M59:N59"/>
    <mergeCell ref="M60:N60"/>
    <mergeCell ref="M61:N61"/>
    <mergeCell ref="M69:N69"/>
    <mergeCell ref="M70:N70"/>
    <mergeCell ref="M71:N71"/>
    <mergeCell ref="M72:N72"/>
    <mergeCell ref="M55:N55"/>
    <mergeCell ref="M56:N56"/>
    <mergeCell ref="K80:K83"/>
    <mergeCell ref="M80:N80"/>
    <mergeCell ref="M81:N81"/>
    <mergeCell ref="M82:N82"/>
    <mergeCell ref="M83:N83"/>
    <mergeCell ref="M65:N65"/>
    <mergeCell ref="M66:N66"/>
    <mergeCell ref="M67:N67"/>
    <mergeCell ref="K68:K70"/>
    <mergeCell ref="M68:N68"/>
    <mergeCell ref="M91:N91"/>
    <mergeCell ref="M93:N93"/>
    <mergeCell ref="M73:N73"/>
    <mergeCell ref="K74:K76"/>
    <mergeCell ref="M74:N74"/>
    <mergeCell ref="M75:N75"/>
    <mergeCell ref="M76:N76"/>
    <mergeCell ref="M77:N77"/>
    <mergeCell ref="M78:N78"/>
    <mergeCell ref="M79:N79"/>
    <mergeCell ref="M101:N101"/>
    <mergeCell ref="M84:N84"/>
    <mergeCell ref="M85:N85"/>
    <mergeCell ref="K86:K88"/>
    <mergeCell ref="M86:N86"/>
    <mergeCell ref="M87:N87"/>
    <mergeCell ref="M88:N88"/>
    <mergeCell ref="M89:N89"/>
    <mergeCell ref="M90:N90"/>
    <mergeCell ref="K91:K93"/>
    <mergeCell ref="M111:N111"/>
    <mergeCell ref="M112:N112"/>
    <mergeCell ref="M94:N94"/>
    <mergeCell ref="M95:N95"/>
    <mergeCell ref="M96:N96"/>
    <mergeCell ref="K97:K99"/>
    <mergeCell ref="M97:N97"/>
    <mergeCell ref="M98:N98"/>
    <mergeCell ref="M99:N99"/>
    <mergeCell ref="M100:N100"/>
    <mergeCell ref="M118:N118"/>
    <mergeCell ref="M119:N119"/>
    <mergeCell ref="M102:N102"/>
    <mergeCell ref="K103:K105"/>
    <mergeCell ref="M103:N103"/>
    <mergeCell ref="M104:N104"/>
    <mergeCell ref="M105:N105"/>
    <mergeCell ref="M106:N106"/>
    <mergeCell ref="M107:N107"/>
    <mergeCell ref="M108:N108"/>
    <mergeCell ref="M29:N29"/>
    <mergeCell ref="M113:N113"/>
    <mergeCell ref="M114:N114"/>
    <mergeCell ref="K115:K117"/>
    <mergeCell ref="M115:N115"/>
    <mergeCell ref="M116:N116"/>
    <mergeCell ref="M117:N117"/>
    <mergeCell ref="K109:K112"/>
    <mergeCell ref="M109:N109"/>
    <mergeCell ref="M110:N110"/>
  </mergeCells>
  <conditionalFormatting sqref="C4:H4">
    <cfRule type="expression" dxfId="67" priority="7" stopIfTrue="1">
      <formula>DAY(C4)&gt;8</formula>
    </cfRule>
  </conditionalFormatting>
  <conditionalFormatting sqref="C8:I10">
    <cfRule type="expression" dxfId="66" priority="6" stopIfTrue="1">
      <formula>AND(DAY(C8)&gt;=1,DAY(C8)&lt;=15)</formula>
    </cfRule>
  </conditionalFormatting>
  <conditionalFormatting sqref="C4:I9">
    <cfRule type="expression" dxfId="65" priority="8">
      <formula>VLOOKUP(DAY(C4),DíasDeTareas,1,FALSE)=DAY(C4)</formula>
    </cfRule>
  </conditionalFormatting>
  <conditionalFormatting sqref="B14:J29">
    <cfRule type="expression" dxfId="64" priority="5">
      <formula>B14&lt;&gt;""</formula>
    </cfRule>
  </conditionalFormatting>
  <conditionalFormatting sqref="B30:J30">
    <cfRule type="expression" dxfId="63" priority="3">
      <formula>B30&lt;&gt;""</formula>
    </cfRule>
  </conditionalFormatting>
  <conditionalFormatting sqref="B31">
    <cfRule type="expression" dxfId="62" priority="2">
      <formula>B31&lt;&gt;""</formula>
    </cfRule>
  </conditionalFormatting>
  <conditionalFormatting sqref="B31">
    <cfRule type="expression" dxfId="61" priority="1">
      <formula>B31&lt;&gt;""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O156"/>
  <sheetViews>
    <sheetView showGridLines="0" topLeftCell="B1" zoomScaleNormal="100" zoomScalePageLayoutView="84" workbookViewId="0">
      <selection activeCell="M4" sqref="M4:N6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83" t="s">
        <v>24</v>
      </c>
      <c r="C2" s="21"/>
      <c r="D2" s="21"/>
      <c r="E2" s="21"/>
      <c r="F2" s="21"/>
      <c r="G2" s="21"/>
      <c r="H2" s="21"/>
      <c r="I2" s="21"/>
      <c r="J2" s="22"/>
      <c r="K2" s="67" t="s">
        <v>2</v>
      </c>
      <c r="L2" s="68">
        <v>2013</v>
      </c>
      <c r="M2" s="68"/>
      <c r="N2" s="25"/>
    </row>
    <row r="3" spans="1:14" ht="21" customHeight="1">
      <c r="A3" s="4"/>
      <c r="B3" s="84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69"/>
      <c r="L3" s="70"/>
      <c r="M3" s="70"/>
      <c r="N3" s="26"/>
    </row>
    <row r="4" spans="1:14" ht="18" customHeight="1">
      <c r="A4" s="4"/>
      <c r="B4" s="84"/>
      <c r="C4" s="10">
        <f>IF(DAY(MarDom1)=1,MarDom1-6,MarDom1+1)</f>
        <v>44256</v>
      </c>
      <c r="D4" s="10">
        <f>IF(DAY(MarDom1)=1,MarDom1-5,MarDom1+2)</f>
        <v>44257</v>
      </c>
      <c r="E4" s="10">
        <f>IF(DAY(MarDom1)=1,MarDom1-4,MarDom1+3)</f>
        <v>44258</v>
      </c>
      <c r="F4" s="10">
        <f>IF(DAY(MarDom1)=1,MarDom1-3,MarDom1+4)</f>
        <v>44259</v>
      </c>
      <c r="G4" s="10">
        <f>IF(DAY(MarDom1)=1,MarDom1-2,MarDom1+5)</f>
        <v>44260</v>
      </c>
      <c r="H4" s="10">
        <f>IF(DAY(MarDom1)=1,MarDom1-1,MarDom1+6)</f>
        <v>44261</v>
      </c>
      <c r="I4" s="10">
        <f>IF(DAY(MarDom1)=1,MarDom1,MarDom1+7)</f>
        <v>44262</v>
      </c>
      <c r="J4" s="5"/>
      <c r="K4" s="54" t="s">
        <v>11</v>
      </c>
      <c r="L4" s="16">
        <v>1</v>
      </c>
      <c r="M4" s="63" t="s">
        <v>34</v>
      </c>
      <c r="N4" s="64"/>
    </row>
    <row r="5" spans="1:14" ht="18" customHeight="1">
      <c r="A5" s="4"/>
      <c r="B5" s="84"/>
      <c r="C5" s="10">
        <f>IF(DAY(MarDom1)=1,MarDom1+1,MarDom1+8)</f>
        <v>44263</v>
      </c>
      <c r="D5" s="10">
        <f>IF(DAY(MarDom1)=1,MarDom1+2,MarDom1+9)</f>
        <v>44264</v>
      </c>
      <c r="E5" s="10">
        <f>IF(DAY(MarDom1)=1,MarDom1+3,MarDom1+10)</f>
        <v>44265</v>
      </c>
      <c r="F5" s="10">
        <f>IF(DAY(MarDom1)=1,MarDom1+4,MarDom1+11)</f>
        <v>44266</v>
      </c>
      <c r="G5" s="10">
        <f>IF(DAY(MarDom1)=1,MarDom1+5,MarDom1+12)</f>
        <v>44267</v>
      </c>
      <c r="H5" s="10">
        <f>IF(DAY(MarDom1)=1,MarDom1+6,MarDom1+13)</f>
        <v>44268</v>
      </c>
      <c r="I5" s="10">
        <f>IF(DAY(MarDom1)=1,MarDom1+7,MarDom1+14)</f>
        <v>44269</v>
      </c>
      <c r="J5" s="5"/>
      <c r="K5" s="53"/>
      <c r="L5" s="17">
        <v>8</v>
      </c>
      <c r="M5" s="57" t="s">
        <v>37</v>
      </c>
      <c r="N5" s="58"/>
    </row>
    <row r="6" spans="1:14" ht="18" customHeight="1">
      <c r="A6" s="4"/>
      <c r="B6" s="84"/>
      <c r="C6" s="10">
        <f>IF(DAY(MarDom1)=1,MarDom1+8,MarDom1+15)</f>
        <v>44270</v>
      </c>
      <c r="D6" s="10">
        <f>IF(DAY(MarDom1)=1,MarDom1+9,MarDom1+16)</f>
        <v>44271</v>
      </c>
      <c r="E6" s="10">
        <f>IF(DAY(MarDom1)=1,MarDom1+10,MarDom1+17)</f>
        <v>44272</v>
      </c>
      <c r="F6" s="10">
        <f>IF(DAY(MarDom1)=1,MarDom1+11,MarDom1+18)</f>
        <v>44273</v>
      </c>
      <c r="G6" s="10">
        <f>IF(DAY(MarDom1)=1,MarDom1+12,MarDom1+19)</f>
        <v>44274</v>
      </c>
      <c r="H6" s="10">
        <f>IF(DAY(MarDom1)=1,MarDom1+13,MarDom1+20)</f>
        <v>44275</v>
      </c>
      <c r="I6" s="10">
        <f>IF(DAY(MarDom1)=1,MarDom1+14,MarDom1+21)</f>
        <v>44276</v>
      </c>
      <c r="J6" s="5"/>
      <c r="K6" s="53"/>
      <c r="L6" s="17"/>
      <c r="M6" s="57" t="s">
        <v>35</v>
      </c>
      <c r="N6" s="58"/>
    </row>
    <row r="7" spans="1:14" ht="18" customHeight="1">
      <c r="A7" s="4"/>
      <c r="B7" s="84"/>
      <c r="C7" s="10">
        <f>IF(DAY(MarDom1)=1,MarDom1+15,MarDom1+22)</f>
        <v>44277</v>
      </c>
      <c r="D7" s="10">
        <f>IF(DAY(MarDom1)=1,MarDom1+16,MarDom1+23)</f>
        <v>44278</v>
      </c>
      <c r="E7" s="10">
        <f>IF(DAY(MarDom1)=1,MarDom1+17,MarDom1+24)</f>
        <v>44279</v>
      </c>
      <c r="F7" s="10">
        <f>IF(DAY(MarDom1)=1,MarDom1+18,MarDom1+25)</f>
        <v>44280</v>
      </c>
      <c r="G7" s="10">
        <f>IF(DAY(MarDom1)=1,MarDom1+19,MarDom1+26)</f>
        <v>44281</v>
      </c>
      <c r="H7" s="10">
        <f>IF(DAY(MarDom1)=1,MarDom1+20,MarDom1+27)</f>
        <v>44282</v>
      </c>
      <c r="I7" s="10">
        <f>IF(DAY(MarDom1)=1,MarDom1+21,MarDom1+28)</f>
        <v>44283</v>
      </c>
      <c r="J7" s="5"/>
      <c r="K7" s="11"/>
      <c r="L7" s="17">
        <v>22</v>
      </c>
      <c r="M7" s="42"/>
      <c r="N7" s="43"/>
    </row>
    <row r="8" spans="1:14" ht="18.75" customHeight="1">
      <c r="A8" s="4"/>
      <c r="B8" s="84"/>
      <c r="C8" s="10">
        <f>IF(DAY(MarDom1)=1,MarDom1+22,MarDom1+29)</f>
        <v>44284</v>
      </c>
      <c r="D8" s="10">
        <f>IF(DAY(MarDom1)=1,MarDom1+23,MarDom1+30)</f>
        <v>44285</v>
      </c>
      <c r="E8" s="10">
        <f>IF(DAY(MarDom1)=1,MarDom1+24,MarDom1+31)</f>
        <v>44286</v>
      </c>
      <c r="F8" s="10">
        <f>IF(DAY(MarDom1)=1,MarDom1+25,MarDom1+32)</f>
        <v>44287</v>
      </c>
      <c r="G8" s="10">
        <f>IF(DAY(MarDom1)=1,MarDom1+26,MarDom1+33)</f>
        <v>44288</v>
      </c>
      <c r="H8" s="10">
        <f>IF(DAY(MarDom1)=1,MarDom1+27,MarDom1+34)</f>
        <v>44289</v>
      </c>
      <c r="I8" s="10">
        <f>IF(DAY(MarDom1)=1,MarDom1+28,MarDom1+35)</f>
        <v>44290</v>
      </c>
      <c r="J8" s="5"/>
      <c r="K8" s="11"/>
      <c r="L8" s="17"/>
      <c r="M8" s="42"/>
      <c r="N8" s="43"/>
    </row>
    <row r="9" spans="1:14" ht="18" customHeight="1">
      <c r="A9" s="4"/>
      <c r="B9" s="84"/>
      <c r="C9" s="10">
        <f>IF(DAY(MarDom1)=1,MarDom1+29,MarDom1+36)</f>
        <v>44291</v>
      </c>
      <c r="D9" s="10">
        <f>IF(DAY(MarDom1)=1,MarDom1+30,MarDom1+37)</f>
        <v>44292</v>
      </c>
      <c r="E9" s="10">
        <f>IF(DAY(MarDom1)=1,MarDom1+31,MarDom1+38)</f>
        <v>44293</v>
      </c>
      <c r="F9" s="10">
        <f>IF(DAY(MarDom1)=1,MarDom1+32,MarDom1+39)</f>
        <v>44294</v>
      </c>
      <c r="G9" s="10">
        <f>IF(DAY(MarDom1)=1,MarDom1+33,MarDom1+40)</f>
        <v>44295</v>
      </c>
      <c r="H9" s="10">
        <f>IF(DAY(MarDom1)=1,MarDom1+34,MarDom1+41)</f>
        <v>44296</v>
      </c>
      <c r="I9" s="10">
        <f>IF(DAY(MarDom1)=1,MarDom1+35,MarDom1+42)</f>
        <v>44297</v>
      </c>
      <c r="J9" s="5"/>
      <c r="K9" s="12"/>
      <c r="L9" s="18"/>
      <c r="M9" s="46"/>
      <c r="N9" s="47"/>
    </row>
    <row r="10" spans="1:14" ht="18" customHeight="1">
      <c r="A10" s="4"/>
      <c r="B10" s="85"/>
      <c r="C10" s="23"/>
      <c r="D10" s="23"/>
      <c r="E10" s="23"/>
      <c r="F10" s="23"/>
      <c r="G10" s="23"/>
      <c r="H10" s="23"/>
      <c r="I10" s="23"/>
      <c r="J10" s="24"/>
      <c r="K10" s="52" t="s">
        <v>12</v>
      </c>
      <c r="L10" s="16">
        <v>2</v>
      </c>
      <c r="M10" s="63" t="s">
        <v>34</v>
      </c>
      <c r="N10" s="64"/>
    </row>
    <row r="11" spans="1:14" ht="18" customHeight="1">
      <c r="A11" s="4"/>
      <c r="B11" s="86" t="s">
        <v>10</v>
      </c>
      <c r="C11" s="87"/>
      <c r="D11" s="87"/>
      <c r="E11" s="87"/>
      <c r="F11" s="87"/>
      <c r="G11" s="87"/>
      <c r="H11" s="87"/>
      <c r="I11" s="87"/>
      <c r="J11" s="88"/>
      <c r="K11" s="53"/>
      <c r="L11" s="17">
        <v>9</v>
      </c>
      <c r="M11" s="57" t="s">
        <v>37</v>
      </c>
      <c r="N11" s="58"/>
    </row>
    <row r="12" spans="1:14" ht="18" customHeight="1">
      <c r="A12" s="4"/>
      <c r="B12" s="86"/>
      <c r="C12" s="87"/>
      <c r="D12" s="87"/>
      <c r="E12" s="87"/>
      <c r="F12" s="87"/>
      <c r="G12" s="87"/>
      <c r="H12" s="87"/>
      <c r="I12" s="87"/>
      <c r="J12" s="88"/>
      <c r="K12" s="53"/>
      <c r="L12" s="17">
        <v>16</v>
      </c>
      <c r="M12" s="57" t="s">
        <v>35</v>
      </c>
      <c r="N12" s="58"/>
    </row>
    <row r="13" spans="1:14" ht="18" customHeight="1">
      <c r="B13" s="3" t="s">
        <v>11</v>
      </c>
      <c r="C13" s="74" t="s">
        <v>12</v>
      </c>
      <c r="D13" s="76"/>
      <c r="E13" s="74" t="s">
        <v>13</v>
      </c>
      <c r="F13" s="76"/>
      <c r="G13" s="74" t="s">
        <v>14</v>
      </c>
      <c r="H13" s="76"/>
      <c r="I13" s="74" t="s">
        <v>15</v>
      </c>
      <c r="J13" s="75"/>
      <c r="K13" s="11"/>
      <c r="L13" s="17">
        <v>23</v>
      </c>
      <c r="M13" s="42"/>
      <c r="N13" s="43"/>
    </row>
    <row r="14" spans="1:14" ht="18" customHeight="1">
      <c r="B14" s="8"/>
      <c r="C14" s="59"/>
      <c r="D14" s="60"/>
      <c r="E14" s="59"/>
      <c r="F14" s="60"/>
      <c r="G14" s="59"/>
      <c r="H14" s="60"/>
      <c r="I14" s="59"/>
      <c r="J14" s="73"/>
      <c r="K14" s="11"/>
      <c r="L14" s="17"/>
      <c r="M14" s="42"/>
      <c r="N14" s="43"/>
    </row>
    <row r="15" spans="1:14" ht="18" customHeight="1">
      <c r="B15" s="6"/>
      <c r="C15" s="61"/>
      <c r="D15" s="62"/>
      <c r="E15" s="61"/>
      <c r="F15" s="62"/>
      <c r="G15" s="61"/>
      <c r="H15" s="62"/>
      <c r="I15" s="77"/>
      <c r="J15" s="78"/>
      <c r="K15" s="13"/>
      <c r="L15" s="19"/>
      <c r="M15" s="46"/>
      <c r="N15" s="47"/>
    </row>
    <row r="16" spans="1:14" ht="18" customHeight="1">
      <c r="B16" s="8"/>
      <c r="C16" s="59"/>
      <c r="D16" s="60"/>
      <c r="E16" s="59"/>
      <c r="F16" s="60"/>
      <c r="G16" s="59"/>
      <c r="H16" s="60"/>
      <c r="I16" s="91"/>
      <c r="J16" s="92"/>
      <c r="K16" s="48" t="s">
        <v>13</v>
      </c>
      <c r="L16" s="16">
        <v>3</v>
      </c>
      <c r="M16" s="63" t="s">
        <v>34</v>
      </c>
      <c r="N16" s="64"/>
    </row>
    <row r="17" spans="2:14" ht="18" customHeight="1">
      <c r="B17" s="6"/>
      <c r="C17" s="61"/>
      <c r="D17" s="62"/>
      <c r="E17" s="61"/>
      <c r="F17" s="62"/>
      <c r="G17" s="61"/>
      <c r="H17" s="62"/>
      <c r="I17" s="77"/>
      <c r="J17" s="78"/>
      <c r="K17" s="49"/>
      <c r="L17" s="17">
        <v>10</v>
      </c>
      <c r="M17" s="57" t="s">
        <v>37</v>
      </c>
      <c r="N17" s="58"/>
    </row>
    <row r="18" spans="2:14" ht="18" customHeight="1">
      <c r="B18" s="9"/>
      <c r="C18" s="79"/>
      <c r="D18" s="80"/>
      <c r="E18" s="79"/>
      <c r="F18" s="80"/>
      <c r="G18" s="79"/>
      <c r="H18" s="80"/>
      <c r="I18" s="79"/>
      <c r="J18" s="81"/>
      <c r="K18" s="49"/>
      <c r="L18" s="17">
        <v>17</v>
      </c>
      <c r="M18" s="57" t="s">
        <v>35</v>
      </c>
      <c r="N18" s="58"/>
    </row>
    <row r="19" spans="2:14" ht="18" customHeight="1">
      <c r="B19" s="6"/>
      <c r="C19" s="61"/>
      <c r="D19" s="62"/>
      <c r="E19" s="61"/>
      <c r="F19" s="62"/>
      <c r="G19" s="61"/>
      <c r="H19" s="62"/>
      <c r="I19" s="77"/>
      <c r="J19" s="78"/>
      <c r="K19" s="11"/>
      <c r="L19" s="17">
        <v>24</v>
      </c>
      <c r="M19" s="42"/>
      <c r="N19" s="43"/>
    </row>
    <row r="20" spans="2:14" ht="18" customHeight="1">
      <c r="B20" s="8"/>
      <c r="C20" s="59"/>
      <c r="D20" s="60"/>
      <c r="E20" s="59"/>
      <c r="F20" s="60"/>
      <c r="G20" s="59"/>
      <c r="H20" s="60"/>
      <c r="I20" s="59"/>
      <c r="J20" s="73"/>
      <c r="K20" s="11"/>
      <c r="L20" s="17"/>
      <c r="M20" s="42"/>
      <c r="N20" s="43"/>
    </row>
    <row r="21" spans="2:14" ht="18" customHeight="1">
      <c r="B21" s="6"/>
      <c r="C21" s="61"/>
      <c r="D21" s="62"/>
      <c r="E21" s="61"/>
      <c r="F21" s="62"/>
      <c r="G21" s="61"/>
      <c r="H21" s="62"/>
      <c r="I21" s="89"/>
      <c r="J21" s="90"/>
      <c r="K21" s="13"/>
      <c r="L21" s="19"/>
      <c r="M21" s="46"/>
      <c r="N21" s="47"/>
    </row>
    <row r="22" spans="2:14" ht="18" customHeight="1">
      <c r="B22" s="8"/>
      <c r="C22" s="59"/>
      <c r="D22" s="60"/>
      <c r="E22" s="59"/>
      <c r="F22" s="60"/>
      <c r="G22" s="59"/>
      <c r="H22" s="60"/>
      <c r="I22" s="59"/>
      <c r="J22" s="73"/>
      <c r="K22" s="48" t="s">
        <v>14</v>
      </c>
      <c r="L22" s="16">
        <v>4</v>
      </c>
      <c r="M22" s="63" t="s">
        <v>34</v>
      </c>
      <c r="N22" s="64"/>
    </row>
    <row r="23" spans="2:14" ht="18" customHeight="1">
      <c r="B23" s="6"/>
      <c r="C23" s="61"/>
      <c r="D23" s="62"/>
      <c r="E23" s="61"/>
      <c r="F23" s="62"/>
      <c r="G23" s="61"/>
      <c r="H23" s="62"/>
      <c r="I23" s="77"/>
      <c r="J23" s="78"/>
      <c r="K23" s="49"/>
      <c r="L23" s="17">
        <v>11</v>
      </c>
      <c r="M23" s="57" t="s">
        <v>37</v>
      </c>
      <c r="N23" s="58"/>
    </row>
    <row r="24" spans="2:14" ht="15.75" customHeight="1">
      <c r="B24" s="8"/>
      <c r="C24" s="59"/>
      <c r="D24" s="60"/>
      <c r="E24" s="59"/>
      <c r="F24" s="60"/>
      <c r="G24" s="59"/>
      <c r="H24" s="60"/>
      <c r="I24" s="59"/>
      <c r="J24" s="73"/>
      <c r="K24" s="49"/>
      <c r="L24" s="17">
        <v>18</v>
      </c>
      <c r="M24" s="57" t="s">
        <v>35</v>
      </c>
      <c r="N24" s="58"/>
    </row>
    <row r="25" spans="2:14" ht="18" customHeight="1">
      <c r="B25" s="6"/>
      <c r="C25" s="61"/>
      <c r="D25" s="62"/>
      <c r="E25" s="61"/>
      <c r="F25" s="62"/>
      <c r="G25" s="61"/>
      <c r="H25" s="62"/>
      <c r="I25" s="77"/>
      <c r="J25" s="78"/>
      <c r="K25" s="49"/>
      <c r="L25" s="17">
        <v>25</v>
      </c>
      <c r="M25" s="42"/>
      <c r="N25" s="43"/>
    </row>
    <row r="26" spans="2:14" ht="18" customHeight="1">
      <c r="B26" s="8"/>
      <c r="C26" s="59"/>
      <c r="D26" s="60"/>
      <c r="E26" s="59"/>
      <c r="F26" s="60"/>
      <c r="G26" s="59"/>
      <c r="H26" s="60"/>
      <c r="I26" s="59"/>
      <c r="J26" s="73"/>
      <c r="K26" s="11"/>
      <c r="L26" s="17"/>
      <c r="M26" s="42"/>
      <c r="N26" s="43"/>
    </row>
    <row r="27" spans="2:14" ht="18" customHeight="1">
      <c r="B27" s="6"/>
      <c r="C27" s="61"/>
      <c r="D27" s="62"/>
      <c r="E27" s="61"/>
      <c r="F27" s="62"/>
      <c r="G27" s="61"/>
      <c r="H27" s="62"/>
      <c r="I27" s="77"/>
      <c r="J27" s="78"/>
      <c r="K27" s="13"/>
      <c r="L27" s="19"/>
      <c r="M27" s="46"/>
      <c r="N27" s="47"/>
    </row>
    <row r="28" spans="2:14" ht="18" customHeight="1">
      <c r="B28" s="8"/>
      <c r="C28" s="59"/>
      <c r="D28" s="60"/>
      <c r="E28" s="59"/>
      <c r="F28" s="60"/>
      <c r="G28" s="59"/>
      <c r="H28" s="60"/>
      <c r="I28" s="59"/>
      <c r="J28" s="73"/>
      <c r="K28" s="52" t="s">
        <v>15</v>
      </c>
      <c r="L28" s="16">
        <v>5</v>
      </c>
      <c r="M28" s="63" t="s">
        <v>34</v>
      </c>
      <c r="N28" s="64"/>
    </row>
    <row r="29" spans="2:14" ht="18" customHeight="1">
      <c r="B29" s="6"/>
      <c r="C29" s="61"/>
      <c r="D29" s="62"/>
      <c r="E29" s="61"/>
      <c r="F29" s="62"/>
      <c r="G29" s="61"/>
      <c r="H29" s="62"/>
      <c r="I29" s="61"/>
      <c r="J29" s="82"/>
      <c r="K29" s="53"/>
      <c r="L29" s="17">
        <v>12</v>
      </c>
      <c r="M29" s="57" t="s">
        <v>37</v>
      </c>
      <c r="N29" s="58"/>
    </row>
    <row r="30" spans="2:14" ht="18" customHeight="1">
      <c r="B30" s="6"/>
      <c r="C30" s="61"/>
      <c r="D30" s="62"/>
      <c r="E30" s="61"/>
      <c r="F30" s="62"/>
      <c r="G30" s="61"/>
      <c r="H30" s="62"/>
      <c r="I30" s="61"/>
      <c r="J30" s="82"/>
      <c r="K30" s="53"/>
      <c r="L30" s="17">
        <v>19</v>
      </c>
      <c r="M30" s="57" t="s">
        <v>35</v>
      </c>
      <c r="N30" s="58"/>
    </row>
    <row r="31" spans="2:14" ht="18" customHeight="1">
      <c r="B31" s="93" t="s">
        <v>26</v>
      </c>
      <c r="C31" s="94"/>
      <c r="D31" s="94"/>
      <c r="E31" s="94"/>
      <c r="F31" s="94"/>
      <c r="G31" s="94"/>
      <c r="H31" s="94"/>
      <c r="I31" s="94"/>
      <c r="J31" s="95"/>
      <c r="K31" s="14"/>
      <c r="L31" s="17">
        <v>26</v>
      </c>
      <c r="M31" s="42"/>
      <c r="N31" s="43"/>
    </row>
    <row r="32" spans="2:14" ht="35.25" customHeight="1">
      <c r="B32" s="96"/>
      <c r="C32" s="97"/>
      <c r="D32" s="97"/>
      <c r="E32" s="97"/>
      <c r="F32" s="97"/>
      <c r="G32" s="97"/>
      <c r="H32" s="97"/>
      <c r="I32" s="97"/>
      <c r="J32" s="98"/>
      <c r="K32" s="14"/>
      <c r="L32" s="17"/>
      <c r="M32" s="42"/>
      <c r="N32" s="43"/>
    </row>
    <row r="33" spans="2:14" ht="18" customHeight="1">
      <c r="B33" s="96"/>
      <c r="C33" s="97"/>
      <c r="D33" s="97"/>
      <c r="E33" s="97"/>
      <c r="F33" s="97"/>
      <c r="G33" s="97"/>
      <c r="H33" s="97"/>
      <c r="I33" s="97"/>
      <c r="J33" s="98"/>
      <c r="K33" s="67"/>
      <c r="L33" s="68"/>
      <c r="M33" s="68"/>
      <c r="N33" s="25"/>
    </row>
    <row r="34" spans="2:14" ht="16.5" customHeight="1">
      <c r="K34" s="69"/>
      <c r="L34" s="70"/>
      <c r="M34" s="70"/>
      <c r="N34" s="26"/>
    </row>
    <row r="35" spans="2:14" ht="16.5" customHeight="1">
      <c r="K35" s="54"/>
      <c r="L35" s="16"/>
      <c r="M35" s="55"/>
      <c r="N35" s="56"/>
    </row>
    <row r="36" spans="2:14" ht="16.5" customHeight="1">
      <c r="K36" s="53"/>
      <c r="L36" s="17"/>
      <c r="M36" s="42"/>
      <c r="N36" s="43"/>
    </row>
    <row r="37" spans="2:14" ht="16.5" customHeight="1">
      <c r="K37" s="53"/>
      <c r="L37" s="17"/>
      <c r="M37" s="42"/>
      <c r="N37" s="43"/>
    </row>
    <row r="38" spans="2:14" ht="16.5" customHeight="1">
      <c r="K38" s="11"/>
      <c r="L38" s="17"/>
      <c r="M38" s="42"/>
      <c r="N38" s="43"/>
    </row>
    <row r="39" spans="2:14" ht="16.5" customHeight="1">
      <c r="K39" s="11"/>
      <c r="L39" s="17"/>
      <c r="M39" s="42"/>
      <c r="N39" s="43"/>
    </row>
    <row r="40" spans="2:14" ht="16.5" customHeight="1">
      <c r="K40" s="12"/>
      <c r="L40" s="18"/>
      <c r="M40" s="46"/>
      <c r="N40" s="47"/>
    </row>
    <row r="41" spans="2:14" ht="16.5" customHeight="1">
      <c r="K41" s="52"/>
      <c r="L41" s="16"/>
      <c r="M41" s="50"/>
      <c r="N41" s="51"/>
    </row>
    <row r="42" spans="2:14" ht="16.5" customHeight="1">
      <c r="K42" s="53"/>
      <c r="L42" s="17"/>
      <c r="M42" s="42"/>
      <c r="N42" s="43"/>
    </row>
    <row r="43" spans="2:14" ht="16.5" customHeight="1">
      <c r="K43" s="53"/>
      <c r="L43" s="17"/>
      <c r="M43" s="42"/>
      <c r="N43" s="43"/>
    </row>
    <row r="44" spans="2:14" ht="16.5" customHeight="1">
      <c r="K44" s="11"/>
      <c r="L44" s="17"/>
      <c r="M44" s="42"/>
      <c r="N44" s="43"/>
    </row>
    <row r="45" spans="2:14" ht="16.5" customHeight="1">
      <c r="K45" s="11"/>
      <c r="L45" s="17"/>
      <c r="M45" s="42"/>
      <c r="N45" s="43"/>
    </row>
    <row r="46" spans="2:14" ht="16.5" customHeight="1">
      <c r="K46" s="13"/>
      <c r="L46" s="19"/>
      <c r="M46" s="46"/>
      <c r="N46" s="47"/>
    </row>
    <row r="47" spans="2:14" ht="16.5" customHeight="1">
      <c r="K47" s="48"/>
      <c r="L47" s="16"/>
      <c r="M47" s="50"/>
      <c r="N47" s="51"/>
    </row>
    <row r="48" spans="2:14" ht="16.5" customHeight="1">
      <c r="K48" s="49"/>
      <c r="L48" s="17"/>
      <c r="M48" s="42"/>
      <c r="N48" s="43"/>
    </row>
    <row r="49" spans="11:14" ht="16.5" customHeight="1">
      <c r="K49" s="49"/>
      <c r="L49" s="17"/>
      <c r="M49" s="42"/>
      <c r="N49" s="43"/>
    </row>
    <row r="50" spans="11:14" ht="16.5" customHeight="1">
      <c r="K50" s="11"/>
      <c r="L50" s="17"/>
      <c r="M50" s="42"/>
      <c r="N50" s="43"/>
    </row>
    <row r="51" spans="11:14" ht="16.5" customHeight="1">
      <c r="K51" s="11"/>
      <c r="L51" s="17"/>
      <c r="M51" s="42"/>
      <c r="N51" s="43"/>
    </row>
    <row r="52" spans="11:14" ht="16.5" customHeight="1">
      <c r="K52" s="13"/>
      <c r="L52" s="19"/>
      <c r="M52" s="46"/>
      <c r="N52" s="47"/>
    </row>
    <row r="53" spans="11:14" ht="16.5" customHeight="1">
      <c r="K53" s="48"/>
      <c r="L53" s="16"/>
      <c r="M53" s="42"/>
      <c r="N53" s="43"/>
    </row>
    <row r="54" spans="11:14" ht="16.5" customHeight="1">
      <c r="K54" s="49"/>
      <c r="L54" s="17"/>
      <c r="M54" s="42"/>
      <c r="N54" s="43"/>
    </row>
    <row r="55" spans="11:14" ht="16.5" customHeight="1">
      <c r="K55" s="49"/>
      <c r="L55" s="17"/>
      <c r="M55" s="101"/>
      <c r="N55" s="102"/>
    </row>
    <row r="56" spans="11:14" ht="16.5" customHeight="1">
      <c r="K56" s="49"/>
      <c r="L56" s="17"/>
      <c r="M56" s="42"/>
      <c r="N56" s="43"/>
    </row>
    <row r="57" spans="11:14" ht="16.5" customHeight="1">
      <c r="K57" s="11"/>
      <c r="L57" s="17"/>
      <c r="M57" s="42"/>
      <c r="N57" s="43"/>
    </row>
    <row r="58" spans="11:14" ht="16.5" customHeight="1">
      <c r="K58" s="13"/>
      <c r="L58" s="19"/>
      <c r="M58" s="46"/>
      <c r="N58" s="47"/>
    </row>
    <row r="59" spans="11:14" ht="16.5" customHeight="1">
      <c r="K59" s="52"/>
      <c r="L59" s="16"/>
      <c r="M59" s="50"/>
      <c r="N59" s="51"/>
    </row>
    <row r="60" spans="11:14" ht="16.5" customHeight="1">
      <c r="K60" s="53"/>
      <c r="L60" s="17"/>
      <c r="M60" s="42"/>
      <c r="N60" s="43"/>
    </row>
    <row r="61" spans="11:14" ht="16.5" customHeight="1">
      <c r="K61" s="53"/>
      <c r="L61" s="17"/>
      <c r="M61" s="42"/>
      <c r="N61" s="43"/>
    </row>
    <row r="62" spans="11:14" ht="16.5" customHeight="1">
      <c r="K62" s="14"/>
      <c r="L62" s="17"/>
      <c r="M62" s="42"/>
      <c r="N62" s="43"/>
    </row>
    <row r="63" spans="11:14" ht="16.5" customHeight="1">
      <c r="K63" s="14"/>
      <c r="L63" s="17"/>
      <c r="M63" s="42"/>
      <c r="N63" s="43"/>
    </row>
    <row r="64" spans="11:14" ht="16.5" customHeight="1">
      <c r="K64" s="67"/>
      <c r="L64" s="68"/>
      <c r="M64" s="68"/>
      <c r="N64" s="25"/>
    </row>
    <row r="65" spans="11:14" ht="16.5" customHeight="1">
      <c r="K65" s="69"/>
      <c r="L65" s="70"/>
      <c r="M65" s="70"/>
      <c r="N65" s="26"/>
    </row>
    <row r="66" spans="11:14" ht="16.5" customHeight="1">
      <c r="K66" s="54"/>
      <c r="L66" s="16"/>
      <c r="M66" s="55"/>
      <c r="N66" s="56"/>
    </row>
    <row r="67" spans="11:14" ht="16.5" customHeight="1">
      <c r="K67" s="53"/>
      <c r="L67" s="17"/>
      <c r="M67" s="42"/>
      <c r="N67" s="43"/>
    </row>
    <row r="68" spans="11:14" ht="16.5" customHeight="1">
      <c r="K68" s="53"/>
      <c r="L68" s="17"/>
      <c r="M68" s="42"/>
      <c r="N68" s="43"/>
    </row>
    <row r="69" spans="11:14" ht="16.5" customHeight="1">
      <c r="K69" s="11"/>
      <c r="L69" s="17"/>
      <c r="M69" s="42"/>
      <c r="N69" s="43"/>
    </row>
    <row r="70" spans="11:14" ht="16.5" customHeight="1">
      <c r="K70" s="11"/>
      <c r="L70" s="17"/>
      <c r="M70" s="42"/>
      <c r="N70" s="43"/>
    </row>
    <row r="71" spans="11:14" ht="16.5" customHeight="1">
      <c r="K71" s="12"/>
      <c r="L71" s="18"/>
      <c r="M71" s="46"/>
      <c r="N71" s="47"/>
    </row>
    <row r="72" spans="11:14" ht="16.5" customHeight="1">
      <c r="K72" s="52"/>
      <c r="L72" s="16"/>
      <c r="M72" s="50"/>
      <c r="N72" s="51"/>
    </row>
    <row r="73" spans="11:14" ht="16.5" customHeight="1">
      <c r="K73" s="53"/>
      <c r="L73" s="17"/>
      <c r="M73" s="42"/>
      <c r="N73" s="43"/>
    </row>
    <row r="74" spans="11:14" ht="16.5" customHeight="1">
      <c r="K74" s="53"/>
      <c r="L74" s="17"/>
      <c r="M74" s="42"/>
      <c r="N74" s="43"/>
    </row>
    <row r="75" spans="11:14" ht="16.5" customHeight="1">
      <c r="K75" s="11"/>
      <c r="L75" s="17"/>
      <c r="M75" s="42"/>
      <c r="N75" s="43"/>
    </row>
    <row r="76" spans="11:14" ht="16.5" customHeight="1">
      <c r="K76" s="11"/>
      <c r="L76" s="17"/>
      <c r="M76" s="42"/>
      <c r="N76" s="43"/>
    </row>
    <row r="77" spans="11:14" ht="16.5" customHeight="1">
      <c r="K77" s="13"/>
      <c r="L77" s="19"/>
      <c r="M77" s="46"/>
      <c r="N77" s="47"/>
    </row>
    <row r="78" spans="11:14" ht="16.5" customHeight="1">
      <c r="K78" s="48"/>
      <c r="L78" s="16"/>
      <c r="M78" s="50"/>
      <c r="N78" s="51"/>
    </row>
    <row r="79" spans="11:14" ht="16.5" customHeight="1">
      <c r="K79" s="49"/>
      <c r="L79" s="17"/>
      <c r="M79" s="42"/>
      <c r="N79" s="43"/>
    </row>
    <row r="80" spans="11:14" ht="16.5" customHeight="1">
      <c r="K80" s="49"/>
      <c r="L80" s="17"/>
      <c r="M80" s="42"/>
      <c r="N80" s="43"/>
    </row>
    <row r="81" spans="11:14" ht="16.5" customHeight="1">
      <c r="K81" s="11"/>
      <c r="L81" s="17"/>
      <c r="M81" s="42"/>
      <c r="N81" s="43"/>
    </row>
    <row r="82" spans="11:14" ht="16.5" customHeight="1">
      <c r="K82" s="11"/>
      <c r="L82" s="17"/>
      <c r="M82" s="42"/>
      <c r="N82" s="43"/>
    </row>
    <row r="83" spans="11:14" ht="16.5" customHeight="1">
      <c r="K83" s="13"/>
      <c r="L83" s="19"/>
      <c r="M83" s="46"/>
      <c r="N83" s="47"/>
    </row>
    <row r="84" spans="11:14" ht="16.5" customHeight="1">
      <c r="K84" s="48"/>
      <c r="L84" s="16"/>
      <c r="M84" s="42"/>
      <c r="N84" s="43"/>
    </row>
    <row r="85" spans="11:14" ht="16.5" customHeight="1">
      <c r="K85" s="49"/>
      <c r="L85" s="17"/>
      <c r="M85" s="42"/>
      <c r="N85" s="43"/>
    </row>
    <row r="86" spans="11:14" ht="16.5" customHeight="1">
      <c r="K86" s="49"/>
      <c r="L86" s="17"/>
      <c r="M86" s="101"/>
      <c r="N86" s="102"/>
    </row>
    <row r="87" spans="11:14" ht="16.5" customHeight="1">
      <c r="K87" s="49"/>
      <c r="L87" s="17"/>
      <c r="M87" s="42"/>
      <c r="N87" s="43"/>
    </row>
    <row r="88" spans="11:14" ht="16.5" customHeight="1">
      <c r="K88" s="11"/>
      <c r="L88" s="17"/>
      <c r="M88" s="42"/>
      <c r="N88" s="43"/>
    </row>
    <row r="89" spans="11:14" ht="16.5" customHeight="1">
      <c r="K89" s="13"/>
      <c r="L89" s="19"/>
      <c r="M89" s="46"/>
      <c r="N89" s="47"/>
    </row>
    <row r="90" spans="11:14" ht="16.5" customHeight="1">
      <c r="K90" s="52"/>
      <c r="L90" s="16"/>
      <c r="M90" s="50"/>
      <c r="N90" s="51"/>
    </row>
    <row r="91" spans="11:14" ht="16.5" customHeight="1">
      <c r="K91" s="53"/>
      <c r="L91" s="17"/>
      <c r="M91" s="42"/>
      <c r="N91" s="43"/>
    </row>
    <row r="92" spans="11:14" ht="16.5" customHeight="1">
      <c r="K92" s="53"/>
      <c r="L92" s="17"/>
      <c r="M92" s="42"/>
      <c r="N92" s="43"/>
    </row>
    <row r="93" spans="11:14" ht="16.5" customHeight="1">
      <c r="K93" s="14"/>
      <c r="L93" s="17"/>
      <c r="M93" s="42"/>
      <c r="N93" s="43"/>
    </row>
    <row r="94" spans="11:14" ht="16.5" customHeight="1">
      <c r="K94" s="14"/>
      <c r="L94" s="17"/>
      <c r="M94" s="42"/>
      <c r="N94" s="43"/>
    </row>
    <row r="95" spans="11:14" ht="16.5" customHeight="1">
      <c r="K95" s="67"/>
      <c r="L95" s="68"/>
      <c r="M95" s="68"/>
      <c r="N95" s="25"/>
    </row>
    <row r="96" spans="11:14" ht="16.5" customHeight="1">
      <c r="K96" s="69"/>
      <c r="L96" s="70"/>
      <c r="M96" s="70"/>
      <c r="N96" s="26"/>
    </row>
    <row r="97" spans="11:14" ht="16.5" customHeight="1">
      <c r="K97" s="54"/>
      <c r="L97" s="16"/>
      <c r="M97" s="55"/>
      <c r="N97" s="56"/>
    </row>
    <row r="98" spans="11:14" ht="16.5" customHeight="1">
      <c r="K98" s="53"/>
      <c r="L98" s="17"/>
      <c r="M98" s="42"/>
      <c r="N98" s="43"/>
    </row>
    <row r="99" spans="11:14" ht="16.5" customHeight="1">
      <c r="K99" s="53"/>
      <c r="L99" s="17"/>
      <c r="M99" s="42"/>
      <c r="N99" s="43"/>
    </row>
    <row r="100" spans="11:14" ht="16.5" customHeight="1">
      <c r="K100" s="11"/>
      <c r="L100" s="17"/>
      <c r="M100" s="42"/>
      <c r="N100" s="43"/>
    </row>
    <row r="101" spans="11:14" ht="16.5" customHeight="1">
      <c r="K101" s="11"/>
      <c r="L101" s="17"/>
      <c r="M101" s="42"/>
      <c r="N101" s="43"/>
    </row>
    <row r="102" spans="11:14" ht="16.5" customHeight="1">
      <c r="K102" s="12"/>
      <c r="L102" s="18"/>
      <c r="M102" s="46"/>
      <c r="N102" s="47"/>
    </row>
    <row r="103" spans="11:14" ht="16.5" customHeight="1">
      <c r="K103" s="52"/>
      <c r="L103" s="16"/>
      <c r="M103" s="50"/>
      <c r="N103" s="51"/>
    </row>
    <row r="104" spans="11:14" ht="16.5" customHeight="1">
      <c r="K104" s="53"/>
      <c r="L104" s="17"/>
      <c r="M104" s="42"/>
      <c r="N104" s="43"/>
    </row>
    <row r="105" spans="11:14" ht="16.5" customHeight="1">
      <c r="K105" s="53"/>
      <c r="L105" s="17"/>
      <c r="M105" s="42"/>
      <c r="N105" s="43"/>
    </row>
    <row r="106" spans="11:14" ht="16.5" customHeight="1">
      <c r="K106" s="11"/>
      <c r="L106" s="17"/>
      <c r="M106" s="42"/>
      <c r="N106" s="43"/>
    </row>
    <row r="107" spans="11:14" ht="16.5" customHeight="1">
      <c r="K107" s="11"/>
      <c r="L107" s="17"/>
      <c r="M107" s="42"/>
      <c r="N107" s="43"/>
    </row>
    <row r="108" spans="11:14" ht="16.5" customHeight="1">
      <c r="K108" s="13"/>
      <c r="L108" s="19"/>
      <c r="M108" s="46"/>
      <c r="N108" s="47"/>
    </row>
    <row r="109" spans="11:14" ht="16.5" customHeight="1">
      <c r="K109" s="48"/>
      <c r="L109" s="16"/>
      <c r="M109" s="50"/>
      <c r="N109" s="51"/>
    </row>
    <row r="110" spans="11:14" ht="16.5" customHeight="1">
      <c r="K110" s="49"/>
      <c r="L110" s="17"/>
      <c r="M110" s="42"/>
      <c r="N110" s="43"/>
    </row>
    <row r="111" spans="11:14" ht="16.5" customHeight="1">
      <c r="K111" s="49"/>
      <c r="L111" s="17"/>
      <c r="M111" s="42"/>
      <c r="N111" s="43"/>
    </row>
    <row r="112" spans="11:14" ht="16.5" customHeight="1">
      <c r="K112" s="11"/>
      <c r="L112" s="17"/>
      <c r="M112" s="42"/>
      <c r="N112" s="43"/>
    </row>
    <row r="113" spans="11:14" ht="16.5" customHeight="1">
      <c r="K113" s="11"/>
      <c r="L113" s="17"/>
      <c r="M113" s="42"/>
      <c r="N113" s="43"/>
    </row>
    <row r="114" spans="11:14" ht="16.5" customHeight="1">
      <c r="K114" s="13"/>
      <c r="L114" s="19"/>
      <c r="M114" s="46"/>
      <c r="N114" s="47"/>
    </row>
    <row r="115" spans="11:14" ht="16.5" customHeight="1">
      <c r="K115" s="48"/>
      <c r="L115" s="16"/>
      <c r="M115" s="42"/>
      <c r="N115" s="43"/>
    </row>
    <row r="116" spans="11:14" ht="16.5" customHeight="1">
      <c r="K116" s="49"/>
      <c r="L116" s="17"/>
      <c r="M116" s="42"/>
      <c r="N116" s="43"/>
    </row>
    <row r="117" spans="11:14" ht="16.5" customHeight="1">
      <c r="K117" s="49"/>
      <c r="L117" s="17"/>
      <c r="M117" s="101"/>
      <c r="N117" s="102"/>
    </row>
    <row r="118" spans="11:14" ht="16.5" customHeight="1">
      <c r="K118" s="49"/>
      <c r="L118" s="17"/>
      <c r="M118" s="42"/>
      <c r="N118" s="43"/>
    </row>
    <row r="119" spans="11:14" ht="16.5" customHeight="1">
      <c r="K119" s="11"/>
      <c r="L119" s="17"/>
      <c r="M119" s="42"/>
      <c r="N119" s="43"/>
    </row>
    <row r="120" spans="11:14" ht="16.5" customHeight="1">
      <c r="K120" s="13"/>
      <c r="L120" s="19"/>
      <c r="M120" s="46"/>
      <c r="N120" s="47"/>
    </row>
    <row r="121" spans="11:14" ht="16.5" customHeight="1">
      <c r="K121" s="52"/>
      <c r="L121" s="16"/>
      <c r="M121" s="50"/>
      <c r="N121" s="51"/>
    </row>
    <row r="122" spans="11:14" ht="16.5" customHeight="1">
      <c r="K122" s="53"/>
      <c r="L122" s="17"/>
      <c r="M122" s="42"/>
      <c r="N122" s="43"/>
    </row>
    <row r="123" spans="11:14" ht="16.5" customHeight="1">
      <c r="K123" s="53"/>
      <c r="L123" s="17"/>
      <c r="M123" s="42"/>
      <c r="N123" s="43"/>
    </row>
    <row r="124" spans="11:14" ht="16.5" customHeight="1">
      <c r="K124" s="14"/>
      <c r="L124" s="17"/>
      <c r="M124" s="42"/>
      <c r="N124" s="43"/>
    </row>
    <row r="125" spans="11:14" ht="16.5" customHeight="1">
      <c r="K125" s="14"/>
      <c r="L125" s="17"/>
      <c r="M125" s="42"/>
      <c r="N125" s="43"/>
    </row>
    <row r="126" spans="11:14" ht="16.5" customHeight="1">
      <c r="K126" s="67"/>
      <c r="L126" s="68"/>
      <c r="M126" s="68"/>
      <c r="N126" s="25"/>
    </row>
    <row r="127" spans="11:14" ht="16.5" customHeight="1">
      <c r="K127" s="69"/>
      <c r="L127" s="70"/>
      <c r="M127" s="70"/>
      <c r="N127" s="26"/>
    </row>
    <row r="128" spans="11:14" ht="16.5" customHeight="1">
      <c r="K128" s="54"/>
      <c r="L128" s="16"/>
      <c r="M128" s="55"/>
      <c r="N128" s="56"/>
    </row>
    <row r="129" spans="11:14" ht="16.5" customHeight="1">
      <c r="K129" s="53"/>
      <c r="L129" s="17"/>
      <c r="M129" s="42"/>
      <c r="N129" s="43"/>
    </row>
    <row r="130" spans="11:14" ht="16.5" customHeight="1">
      <c r="K130" s="53"/>
      <c r="L130" s="17"/>
      <c r="M130" s="42"/>
      <c r="N130" s="43"/>
    </row>
    <row r="131" spans="11:14" ht="16.5" customHeight="1">
      <c r="K131" s="11"/>
      <c r="L131" s="17"/>
      <c r="M131" s="42"/>
      <c r="N131" s="43"/>
    </row>
    <row r="132" spans="11:14" ht="16.5" customHeight="1">
      <c r="K132" s="11"/>
      <c r="L132" s="17"/>
      <c r="M132" s="42"/>
      <c r="N132" s="43"/>
    </row>
    <row r="133" spans="11:14" ht="16.5" customHeight="1">
      <c r="K133" s="12"/>
      <c r="L133" s="18"/>
      <c r="M133" s="46"/>
      <c r="N133" s="47"/>
    </row>
    <row r="134" spans="11:14" ht="16.5" customHeight="1">
      <c r="K134" s="52"/>
      <c r="L134" s="16"/>
      <c r="M134" s="50"/>
      <c r="N134" s="51"/>
    </row>
    <row r="135" spans="11:14" ht="16.5" customHeight="1">
      <c r="K135" s="53"/>
      <c r="L135" s="17"/>
      <c r="M135" s="42"/>
      <c r="N135" s="43"/>
    </row>
    <row r="136" spans="11:14" ht="16.5" customHeight="1">
      <c r="K136" s="53"/>
      <c r="L136" s="17"/>
      <c r="M136" s="42"/>
      <c r="N136" s="43"/>
    </row>
    <row r="137" spans="11:14" ht="16.5" customHeight="1">
      <c r="K137" s="11"/>
      <c r="L137" s="17"/>
      <c r="M137" s="42"/>
      <c r="N137" s="43"/>
    </row>
    <row r="138" spans="11:14" ht="16.5" customHeight="1">
      <c r="K138" s="11"/>
      <c r="L138" s="17"/>
      <c r="M138" s="42"/>
      <c r="N138" s="43"/>
    </row>
    <row r="139" spans="11:14" ht="16.5" customHeight="1">
      <c r="K139" s="13"/>
      <c r="L139" s="19"/>
      <c r="M139" s="46"/>
      <c r="N139" s="47"/>
    </row>
    <row r="140" spans="11:14" ht="16.5" customHeight="1">
      <c r="K140" s="48"/>
      <c r="L140" s="16"/>
      <c r="M140" s="50"/>
      <c r="N140" s="51"/>
    </row>
    <row r="141" spans="11:14" ht="16.5" customHeight="1">
      <c r="K141" s="49"/>
      <c r="L141" s="17"/>
      <c r="M141" s="42"/>
      <c r="N141" s="43"/>
    </row>
    <row r="142" spans="11:14" ht="16.5" customHeight="1">
      <c r="K142" s="49"/>
      <c r="L142" s="17"/>
      <c r="M142" s="42"/>
      <c r="N142" s="43"/>
    </row>
    <row r="143" spans="11:14" ht="16.5" customHeight="1">
      <c r="K143" s="11"/>
      <c r="L143" s="17"/>
      <c r="M143" s="42"/>
      <c r="N143" s="43"/>
    </row>
    <row r="144" spans="11:14" ht="16.5" customHeight="1">
      <c r="K144" s="11"/>
      <c r="L144" s="17"/>
      <c r="M144" s="42"/>
      <c r="N144" s="43"/>
    </row>
    <row r="145" spans="4:14" ht="16.5" customHeight="1">
      <c r="K145" s="13"/>
      <c r="L145" s="19"/>
      <c r="M145" s="46"/>
      <c r="N145" s="47"/>
    </row>
    <row r="146" spans="4:14" ht="16.5" customHeight="1">
      <c r="K146" s="48"/>
      <c r="L146" s="16"/>
      <c r="M146" s="42"/>
      <c r="N146" s="43"/>
    </row>
    <row r="147" spans="4:14" ht="16.5" customHeight="1">
      <c r="D147" s="34" t="s">
        <v>29</v>
      </c>
      <c r="K147" s="49"/>
      <c r="L147" s="17"/>
      <c r="M147" s="42"/>
      <c r="N147" s="43"/>
    </row>
    <row r="148" spans="4:14" ht="16.5" customHeight="1">
      <c r="K148" s="49"/>
      <c r="L148" s="17"/>
      <c r="M148" s="101"/>
      <c r="N148" s="102"/>
    </row>
    <row r="149" spans="4:14" ht="16.5" customHeight="1">
      <c r="K149" s="49"/>
      <c r="L149" s="17"/>
      <c r="M149" s="42"/>
      <c r="N149" s="43"/>
    </row>
    <row r="150" spans="4:14" ht="16.5" customHeight="1">
      <c r="K150" s="11"/>
      <c r="L150" s="17"/>
      <c r="M150" s="42"/>
      <c r="N150" s="43"/>
    </row>
    <row r="151" spans="4:14" ht="16.5" customHeight="1">
      <c r="K151" s="13"/>
      <c r="L151" s="19"/>
      <c r="M151" s="46"/>
      <c r="N151" s="47"/>
    </row>
    <row r="152" spans="4:14" ht="16.5" customHeight="1">
      <c r="K152" s="52"/>
      <c r="L152" s="16"/>
      <c r="M152" s="50"/>
      <c r="N152" s="51"/>
    </row>
    <row r="153" spans="4:14" ht="16.5" customHeight="1">
      <c r="K153" s="53"/>
      <c r="L153" s="17"/>
      <c r="M153" s="42"/>
      <c r="N153" s="43"/>
    </row>
    <row r="154" spans="4:14" ht="16.5" customHeight="1">
      <c r="K154" s="53"/>
      <c r="L154" s="17"/>
      <c r="M154" s="42"/>
      <c r="N154" s="43"/>
    </row>
    <row r="155" spans="4:14" ht="16.5" customHeight="1">
      <c r="K155" s="14"/>
      <c r="L155" s="17"/>
      <c r="M155" s="42"/>
      <c r="N155" s="43"/>
    </row>
    <row r="156" spans="4:14" ht="16.5" customHeight="1">
      <c r="K156" s="14"/>
      <c r="L156" s="17"/>
      <c r="M156" s="42"/>
      <c r="N156" s="43"/>
    </row>
  </sheetData>
  <mergeCells count="250">
    <mergeCell ref="M32:N32"/>
    <mergeCell ref="M29:N29"/>
    <mergeCell ref="M30:N30"/>
    <mergeCell ref="K33:M34"/>
    <mergeCell ref="C30:D30"/>
    <mergeCell ref="E30:F30"/>
    <mergeCell ref="G30:H30"/>
    <mergeCell ref="I30:J30"/>
    <mergeCell ref="B31:J33"/>
    <mergeCell ref="M28:N28"/>
    <mergeCell ref="C29:D29"/>
    <mergeCell ref="E29:F29"/>
    <mergeCell ref="G29:H29"/>
    <mergeCell ref="I29:J29"/>
    <mergeCell ref="M31:N31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C26:D26"/>
    <mergeCell ref="E26:F26"/>
    <mergeCell ref="G26:H26"/>
    <mergeCell ref="I26:J26"/>
    <mergeCell ref="M26:N26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0:D20"/>
    <mergeCell ref="E20:F20"/>
    <mergeCell ref="G20:H20"/>
    <mergeCell ref="I20:J20"/>
    <mergeCell ref="M20:N20"/>
    <mergeCell ref="M22:N22"/>
    <mergeCell ref="C22:D22"/>
    <mergeCell ref="E22:F22"/>
    <mergeCell ref="G22:H22"/>
    <mergeCell ref="I22:J22"/>
    <mergeCell ref="C19:D19"/>
    <mergeCell ref="E19:F19"/>
    <mergeCell ref="G19:H19"/>
    <mergeCell ref="I19:J19"/>
    <mergeCell ref="M19:N19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I17:J17"/>
    <mergeCell ref="C15:D15"/>
    <mergeCell ref="E15:F15"/>
    <mergeCell ref="G15:H15"/>
    <mergeCell ref="I15:J15"/>
    <mergeCell ref="M15:N15"/>
    <mergeCell ref="M17:N17"/>
    <mergeCell ref="M16:N16"/>
    <mergeCell ref="C17:D17"/>
    <mergeCell ref="E17:F17"/>
    <mergeCell ref="G17:H17"/>
    <mergeCell ref="C14:D14"/>
    <mergeCell ref="E14:F14"/>
    <mergeCell ref="G14:H14"/>
    <mergeCell ref="I14:J14"/>
    <mergeCell ref="M14:N14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M41:N41"/>
    <mergeCell ref="M42:N42"/>
    <mergeCell ref="M43:N43"/>
    <mergeCell ref="M10:N10"/>
    <mergeCell ref="B11:J12"/>
    <mergeCell ref="M11:N11"/>
    <mergeCell ref="M12:N12"/>
    <mergeCell ref="C13:D13"/>
    <mergeCell ref="E13:F13"/>
    <mergeCell ref="G13:H13"/>
    <mergeCell ref="M50:N50"/>
    <mergeCell ref="M51:N51"/>
    <mergeCell ref="K35:K37"/>
    <mergeCell ref="M35:N35"/>
    <mergeCell ref="M36:N36"/>
    <mergeCell ref="M37:N37"/>
    <mergeCell ref="M38:N38"/>
    <mergeCell ref="M39:N39"/>
    <mergeCell ref="M40:N40"/>
    <mergeCell ref="K41:K43"/>
    <mergeCell ref="M44:N44"/>
    <mergeCell ref="M45:N45"/>
    <mergeCell ref="M46:N46"/>
    <mergeCell ref="K47:K49"/>
    <mergeCell ref="M47:N47"/>
    <mergeCell ref="M48:N48"/>
    <mergeCell ref="M49:N49"/>
    <mergeCell ref="M57:N57"/>
    <mergeCell ref="M58:N58"/>
    <mergeCell ref="K59:K61"/>
    <mergeCell ref="M59:N59"/>
    <mergeCell ref="M60:N60"/>
    <mergeCell ref="M61:N61"/>
    <mergeCell ref="M67:N67"/>
    <mergeCell ref="M68:N68"/>
    <mergeCell ref="M69:N69"/>
    <mergeCell ref="M70:N70"/>
    <mergeCell ref="M52:N52"/>
    <mergeCell ref="K53:K56"/>
    <mergeCell ref="M53:N53"/>
    <mergeCell ref="M54:N54"/>
    <mergeCell ref="M55:N55"/>
    <mergeCell ref="M56:N56"/>
    <mergeCell ref="M77:N77"/>
    <mergeCell ref="K78:K80"/>
    <mergeCell ref="M78:N78"/>
    <mergeCell ref="M79:N79"/>
    <mergeCell ref="M80:N80"/>
    <mergeCell ref="M62:N62"/>
    <mergeCell ref="M63:N63"/>
    <mergeCell ref="K64:M65"/>
    <mergeCell ref="K66:K68"/>
    <mergeCell ref="M66:N66"/>
    <mergeCell ref="M86:N86"/>
    <mergeCell ref="M87:N87"/>
    <mergeCell ref="M88:N88"/>
    <mergeCell ref="M71:N71"/>
    <mergeCell ref="K72:K74"/>
    <mergeCell ref="M72:N72"/>
    <mergeCell ref="M73:N73"/>
    <mergeCell ref="M74:N74"/>
    <mergeCell ref="M75:N75"/>
    <mergeCell ref="M76:N76"/>
    <mergeCell ref="K97:K99"/>
    <mergeCell ref="M97:N97"/>
    <mergeCell ref="M98:N98"/>
    <mergeCell ref="M99:N99"/>
    <mergeCell ref="M81:N81"/>
    <mergeCell ref="M82:N82"/>
    <mergeCell ref="M83:N83"/>
    <mergeCell ref="K84:K87"/>
    <mergeCell ref="M84:N84"/>
    <mergeCell ref="M85:N85"/>
    <mergeCell ref="M106:N106"/>
    <mergeCell ref="M107:N107"/>
    <mergeCell ref="M89:N89"/>
    <mergeCell ref="K90:K92"/>
    <mergeCell ref="M90:N90"/>
    <mergeCell ref="M91:N91"/>
    <mergeCell ref="M92:N92"/>
    <mergeCell ref="M93:N93"/>
    <mergeCell ref="M94:N94"/>
    <mergeCell ref="K95:M96"/>
    <mergeCell ref="M100:N100"/>
    <mergeCell ref="M101:N101"/>
    <mergeCell ref="M102:N102"/>
    <mergeCell ref="K103:K105"/>
    <mergeCell ref="M103:N103"/>
    <mergeCell ref="M104:N104"/>
    <mergeCell ref="M105:N105"/>
    <mergeCell ref="M114:N114"/>
    <mergeCell ref="K115:K118"/>
    <mergeCell ref="M115:N115"/>
    <mergeCell ref="M116:N116"/>
    <mergeCell ref="M117:N117"/>
    <mergeCell ref="M118:N118"/>
    <mergeCell ref="M124:N124"/>
    <mergeCell ref="M125:N125"/>
    <mergeCell ref="K126:M127"/>
    <mergeCell ref="M108:N108"/>
    <mergeCell ref="K109:K111"/>
    <mergeCell ref="M109:N109"/>
    <mergeCell ref="M110:N110"/>
    <mergeCell ref="M111:N111"/>
    <mergeCell ref="M112:N112"/>
    <mergeCell ref="M113:N113"/>
    <mergeCell ref="K134:K136"/>
    <mergeCell ref="M134:N134"/>
    <mergeCell ref="M135:N135"/>
    <mergeCell ref="M136:N136"/>
    <mergeCell ref="M119:N119"/>
    <mergeCell ref="M120:N120"/>
    <mergeCell ref="K121:K123"/>
    <mergeCell ref="M121:N121"/>
    <mergeCell ref="M122:N122"/>
    <mergeCell ref="M123:N123"/>
    <mergeCell ref="M142:N142"/>
    <mergeCell ref="M143:N143"/>
    <mergeCell ref="M144:N144"/>
    <mergeCell ref="K128:K130"/>
    <mergeCell ref="M128:N128"/>
    <mergeCell ref="M129:N129"/>
    <mergeCell ref="M130:N130"/>
    <mergeCell ref="M131:N131"/>
    <mergeCell ref="M132:N132"/>
    <mergeCell ref="M133:N133"/>
    <mergeCell ref="K152:K154"/>
    <mergeCell ref="M152:N152"/>
    <mergeCell ref="M153:N153"/>
    <mergeCell ref="M154:N154"/>
    <mergeCell ref="M137:N137"/>
    <mergeCell ref="M138:N138"/>
    <mergeCell ref="M139:N139"/>
    <mergeCell ref="K140:K142"/>
    <mergeCell ref="M140:N140"/>
    <mergeCell ref="M141:N141"/>
    <mergeCell ref="M155:N155"/>
    <mergeCell ref="M156:N156"/>
    <mergeCell ref="M145:N145"/>
    <mergeCell ref="K146:K149"/>
    <mergeCell ref="M146:N146"/>
    <mergeCell ref="M147:N147"/>
    <mergeCell ref="M148:N148"/>
    <mergeCell ref="M149:N149"/>
    <mergeCell ref="M150:N150"/>
    <mergeCell ref="M151:N151"/>
  </mergeCells>
  <conditionalFormatting sqref="C4:H4">
    <cfRule type="expression" dxfId="60" priority="7" stopIfTrue="1">
      <formula>DAY(C4)&gt;8</formula>
    </cfRule>
  </conditionalFormatting>
  <conditionalFormatting sqref="C8:I10">
    <cfRule type="expression" dxfId="59" priority="6" stopIfTrue="1">
      <formula>AND(DAY(C8)&gt;=1,DAY(C8)&lt;=15)</formula>
    </cfRule>
  </conditionalFormatting>
  <conditionalFormatting sqref="C4:I9">
    <cfRule type="expression" dxfId="58" priority="8">
      <formula>VLOOKUP(DAY(C4),DíasDeTareas,1,FALSE)=DAY(C4)</formula>
    </cfRule>
  </conditionalFormatting>
  <conditionalFormatting sqref="B14:J29">
    <cfRule type="expression" dxfId="57" priority="5">
      <formula>B14&lt;&gt;""</formula>
    </cfRule>
  </conditionalFormatting>
  <conditionalFormatting sqref="B30:J30">
    <cfRule type="expression" dxfId="56" priority="3">
      <formula>B30&lt;&gt;""</formula>
    </cfRule>
  </conditionalFormatting>
  <conditionalFormatting sqref="B31">
    <cfRule type="expression" dxfId="55" priority="2">
      <formula>B31&lt;&gt;""</formula>
    </cfRule>
  </conditionalFormatting>
  <conditionalFormatting sqref="B31">
    <cfRule type="expression" dxfId="54" priority="1">
      <formula>B31&lt;&gt;""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O147"/>
  <sheetViews>
    <sheetView showGridLines="0" topLeftCell="B1" zoomScaleNormal="100" zoomScalePageLayoutView="84" workbookViewId="0">
      <selection activeCell="M4" sqref="M4:N6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83" t="s">
        <v>23</v>
      </c>
      <c r="C2" s="21"/>
      <c r="D2" s="21"/>
      <c r="E2" s="21"/>
      <c r="F2" s="21"/>
      <c r="G2" s="21"/>
      <c r="H2" s="21"/>
      <c r="I2" s="21"/>
      <c r="J2" s="22"/>
      <c r="K2" s="67" t="s">
        <v>2</v>
      </c>
      <c r="L2" s="68">
        <v>2013</v>
      </c>
      <c r="M2" s="68"/>
      <c r="N2" s="25"/>
    </row>
    <row r="3" spans="1:14" ht="21" customHeight="1">
      <c r="A3" s="4"/>
      <c r="B3" s="84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69"/>
      <c r="L3" s="70"/>
      <c r="M3" s="70"/>
      <c r="N3" s="26"/>
    </row>
    <row r="4" spans="1:14" ht="18" customHeight="1">
      <c r="A4" s="4"/>
      <c r="B4" s="84"/>
      <c r="C4" s="10">
        <f>IF(DAY(AbrDom1)=1,AbrDom1-6,AbrDom1+1)</f>
        <v>44284</v>
      </c>
      <c r="D4" s="10">
        <f>IF(DAY(AbrDom1)=1,AbrDom1-5,AbrDom1+2)</f>
        <v>44285</v>
      </c>
      <c r="E4" s="10">
        <f>IF(DAY(AbrDom1)=1,AbrDom1-4,AbrDom1+3)</f>
        <v>44286</v>
      </c>
      <c r="F4" s="10">
        <f>IF(DAY(AbrDom1)=1,AbrDom1-3,AbrDom1+4)</f>
        <v>44287</v>
      </c>
      <c r="G4" s="10">
        <f>IF(DAY(AbrDom1)=1,AbrDom1-2,AbrDom1+5)</f>
        <v>44288</v>
      </c>
      <c r="H4" s="10">
        <f>IF(DAY(AbrDom1)=1,AbrDom1-1,AbrDom1+6)</f>
        <v>44289</v>
      </c>
      <c r="I4" s="10">
        <f>IF(DAY(AbrDom1)=1,AbrDom1,AbrDom1+7)</f>
        <v>44290</v>
      </c>
      <c r="J4" s="5"/>
      <c r="K4" s="54" t="s">
        <v>11</v>
      </c>
      <c r="L4" s="16">
        <v>5</v>
      </c>
      <c r="M4" s="63" t="s">
        <v>34</v>
      </c>
      <c r="N4" s="64"/>
    </row>
    <row r="5" spans="1:14" ht="18" customHeight="1">
      <c r="A5" s="4"/>
      <c r="B5" s="84"/>
      <c r="C5" s="10">
        <f>IF(DAY(AbrDom1)=1,AbrDom1+1,AbrDom1+8)</f>
        <v>44291</v>
      </c>
      <c r="D5" s="10">
        <f>IF(DAY(AbrDom1)=1,AbrDom1+2,AbrDom1+9)</f>
        <v>44292</v>
      </c>
      <c r="E5" s="10">
        <f>IF(DAY(AbrDom1)=1,AbrDom1+3,AbrDom1+10)</f>
        <v>44293</v>
      </c>
      <c r="F5" s="10">
        <f>IF(DAY(AbrDom1)=1,AbrDom1+4,AbrDom1+11)</f>
        <v>44294</v>
      </c>
      <c r="G5" s="10">
        <f>IF(DAY(AbrDom1)=1,AbrDom1+5,AbrDom1+12)</f>
        <v>44295</v>
      </c>
      <c r="H5" s="10">
        <f>IF(DAY(AbrDom1)=1,AbrDom1+6,AbrDom1+13)</f>
        <v>44296</v>
      </c>
      <c r="I5" s="10">
        <f>IF(DAY(AbrDom1)=1,AbrDom1+7,AbrDom1+14)</f>
        <v>44297</v>
      </c>
      <c r="J5" s="5"/>
      <c r="K5" s="53"/>
      <c r="L5" s="17">
        <v>12</v>
      </c>
      <c r="M5" s="57" t="s">
        <v>37</v>
      </c>
      <c r="N5" s="58"/>
    </row>
    <row r="6" spans="1:14" ht="18" customHeight="1">
      <c r="A6" s="4"/>
      <c r="B6" s="84"/>
      <c r="C6" s="10">
        <f>IF(DAY(AbrDom1)=1,AbrDom1+8,AbrDom1+15)</f>
        <v>44298</v>
      </c>
      <c r="D6" s="10">
        <f>IF(DAY(AbrDom1)=1,AbrDom1+9,AbrDom1+16)</f>
        <v>44299</v>
      </c>
      <c r="E6" s="10">
        <f>IF(DAY(AbrDom1)=1,AbrDom1+10,AbrDom1+17)</f>
        <v>44300</v>
      </c>
      <c r="F6" s="10">
        <f>IF(DAY(AbrDom1)=1,AbrDom1+11,AbrDom1+18)</f>
        <v>44301</v>
      </c>
      <c r="G6" s="10">
        <f>IF(DAY(AbrDom1)=1,AbrDom1+12,AbrDom1+19)</f>
        <v>44302</v>
      </c>
      <c r="H6" s="10">
        <f>IF(DAY(AbrDom1)=1,AbrDom1+13,AbrDom1+20)</f>
        <v>44303</v>
      </c>
      <c r="I6" s="10">
        <f>IF(DAY(AbrDom1)=1,AbrDom1+14,AbrDom1+21)</f>
        <v>44304</v>
      </c>
      <c r="J6" s="5"/>
      <c r="K6" s="53"/>
      <c r="L6" s="17">
        <v>19</v>
      </c>
      <c r="M6" s="57" t="s">
        <v>35</v>
      </c>
      <c r="N6" s="58"/>
    </row>
    <row r="7" spans="1:14" ht="18" customHeight="1">
      <c r="A7" s="4"/>
      <c r="B7" s="84"/>
      <c r="C7" s="10">
        <f>IF(DAY(AbrDom1)=1,AbrDom1+15,AbrDom1+22)</f>
        <v>44305</v>
      </c>
      <c r="D7" s="10">
        <f>IF(DAY(AbrDom1)=1,AbrDom1+16,AbrDom1+23)</f>
        <v>44306</v>
      </c>
      <c r="E7" s="10">
        <f>IF(DAY(AbrDom1)=1,AbrDom1+17,AbrDom1+24)</f>
        <v>44307</v>
      </c>
      <c r="F7" s="10">
        <f>IF(DAY(AbrDom1)=1,AbrDom1+18,AbrDom1+25)</f>
        <v>44308</v>
      </c>
      <c r="G7" s="10">
        <f>IF(DAY(AbrDom1)=1,AbrDom1+19,AbrDom1+26)</f>
        <v>44309</v>
      </c>
      <c r="H7" s="10">
        <f>IF(DAY(AbrDom1)=1,AbrDom1+20,AbrDom1+27)</f>
        <v>44310</v>
      </c>
      <c r="I7" s="10">
        <f>IF(DAY(AbrDom1)=1,AbrDom1+21,AbrDom1+28)</f>
        <v>44311</v>
      </c>
      <c r="J7" s="5"/>
      <c r="K7" s="11"/>
      <c r="L7" s="17">
        <v>26</v>
      </c>
      <c r="M7" s="42"/>
      <c r="N7" s="43"/>
    </row>
    <row r="8" spans="1:14" ht="18.75" customHeight="1">
      <c r="A8" s="4"/>
      <c r="B8" s="84"/>
      <c r="C8" s="10">
        <f>IF(DAY(AbrDom1)=1,AbrDom1+22,AbrDom1+29)</f>
        <v>44312</v>
      </c>
      <c r="D8" s="10">
        <f>IF(DAY(AbrDom1)=1,AbrDom1+23,AbrDom1+30)</f>
        <v>44313</v>
      </c>
      <c r="E8" s="10">
        <f>IF(DAY(AbrDom1)=1,AbrDom1+24,AbrDom1+31)</f>
        <v>44314</v>
      </c>
      <c r="F8" s="10">
        <f>IF(DAY(AbrDom1)=1,AbrDom1+25,AbrDom1+32)</f>
        <v>44315</v>
      </c>
      <c r="G8" s="10">
        <f>IF(DAY(AbrDom1)=1,AbrDom1+26,AbrDom1+33)</f>
        <v>44316</v>
      </c>
      <c r="H8" s="10">
        <f>IF(DAY(AbrDom1)=1,AbrDom1+27,AbrDom1+34)</f>
        <v>44317</v>
      </c>
      <c r="I8" s="10">
        <f>IF(DAY(AbrDom1)=1,AbrDom1+28,AbrDom1+35)</f>
        <v>44318</v>
      </c>
      <c r="J8" s="5"/>
      <c r="K8" s="11"/>
      <c r="L8" s="17"/>
      <c r="M8" s="42"/>
      <c r="N8" s="43"/>
    </row>
    <row r="9" spans="1:14" ht="18" customHeight="1">
      <c r="A9" s="4"/>
      <c r="B9" s="84"/>
      <c r="C9" s="10">
        <f>IF(DAY(AbrDom1)=1,AbrDom1+29,AbrDom1+36)</f>
        <v>44319</v>
      </c>
      <c r="D9" s="10">
        <f>IF(DAY(AbrDom1)=1,AbrDom1+30,AbrDom1+37)</f>
        <v>44320</v>
      </c>
      <c r="E9" s="10">
        <f>IF(DAY(AbrDom1)=1,AbrDom1+31,AbrDom1+38)</f>
        <v>44321</v>
      </c>
      <c r="F9" s="10">
        <f>IF(DAY(AbrDom1)=1,AbrDom1+32,AbrDom1+39)</f>
        <v>44322</v>
      </c>
      <c r="G9" s="10">
        <f>IF(DAY(AbrDom1)=1,AbrDom1+33,AbrDom1+40)</f>
        <v>44323</v>
      </c>
      <c r="H9" s="10">
        <f>IF(DAY(AbrDom1)=1,AbrDom1+34,AbrDom1+41)</f>
        <v>44324</v>
      </c>
      <c r="I9" s="10">
        <f>IF(DAY(AbrDom1)=1,AbrDom1+35,AbrDom1+42)</f>
        <v>44325</v>
      </c>
      <c r="J9" s="5"/>
      <c r="K9" s="12"/>
      <c r="L9" s="18"/>
      <c r="M9" s="46"/>
      <c r="N9" s="47"/>
    </row>
    <row r="10" spans="1:14" ht="18" customHeight="1">
      <c r="A10" s="4"/>
      <c r="B10" s="85"/>
      <c r="C10" s="23"/>
      <c r="D10" s="23"/>
      <c r="E10" s="23"/>
      <c r="F10" s="23"/>
      <c r="G10" s="23"/>
      <c r="H10" s="23"/>
      <c r="I10" s="23"/>
      <c r="J10" s="24"/>
      <c r="K10" s="52" t="s">
        <v>12</v>
      </c>
      <c r="L10" s="16">
        <v>6</v>
      </c>
      <c r="M10" s="63" t="s">
        <v>34</v>
      </c>
      <c r="N10" s="64"/>
    </row>
    <row r="11" spans="1:14" ht="18" customHeight="1">
      <c r="A11" s="4"/>
      <c r="B11" s="86" t="s">
        <v>10</v>
      </c>
      <c r="C11" s="87"/>
      <c r="D11" s="87"/>
      <c r="E11" s="87"/>
      <c r="F11" s="87"/>
      <c r="G11" s="87"/>
      <c r="H11" s="87"/>
      <c r="I11" s="87"/>
      <c r="J11" s="88"/>
      <c r="K11" s="53"/>
      <c r="L11" s="17">
        <v>13</v>
      </c>
      <c r="M11" s="57" t="s">
        <v>37</v>
      </c>
      <c r="N11" s="58"/>
    </row>
    <row r="12" spans="1:14" ht="18" customHeight="1">
      <c r="A12" s="4"/>
      <c r="B12" s="86"/>
      <c r="C12" s="87"/>
      <c r="D12" s="87"/>
      <c r="E12" s="87"/>
      <c r="F12" s="87"/>
      <c r="G12" s="87"/>
      <c r="H12" s="87"/>
      <c r="I12" s="87"/>
      <c r="J12" s="88"/>
      <c r="K12" s="53"/>
      <c r="L12" s="17">
        <v>20</v>
      </c>
      <c r="M12" s="57" t="s">
        <v>35</v>
      </c>
      <c r="N12" s="58"/>
    </row>
    <row r="13" spans="1:14" ht="18" customHeight="1">
      <c r="B13" s="3" t="s">
        <v>11</v>
      </c>
      <c r="C13" s="74" t="s">
        <v>12</v>
      </c>
      <c r="D13" s="76"/>
      <c r="E13" s="74" t="s">
        <v>13</v>
      </c>
      <c r="F13" s="76"/>
      <c r="G13" s="74" t="s">
        <v>14</v>
      </c>
      <c r="H13" s="76"/>
      <c r="I13" s="74" t="s">
        <v>15</v>
      </c>
      <c r="J13" s="75"/>
      <c r="K13" s="11"/>
      <c r="L13" s="17">
        <v>27</v>
      </c>
      <c r="M13" s="42"/>
      <c r="N13" s="43"/>
    </row>
    <row r="14" spans="1:14" ht="18" customHeight="1">
      <c r="B14" s="8"/>
      <c r="C14" s="59"/>
      <c r="D14" s="60"/>
      <c r="E14" s="59"/>
      <c r="F14" s="60"/>
      <c r="G14" s="59"/>
      <c r="H14" s="60"/>
      <c r="I14" s="59"/>
      <c r="J14" s="73"/>
      <c r="K14" s="11"/>
      <c r="L14" s="17"/>
      <c r="M14" s="42"/>
      <c r="N14" s="43"/>
    </row>
    <row r="15" spans="1:14" ht="18" customHeight="1">
      <c r="B15" s="6"/>
      <c r="C15" s="61"/>
      <c r="D15" s="62"/>
      <c r="E15" s="61"/>
      <c r="F15" s="62"/>
      <c r="G15" s="61"/>
      <c r="H15" s="62"/>
      <c r="I15" s="77"/>
      <c r="J15" s="78"/>
      <c r="K15" s="13"/>
      <c r="L15" s="19"/>
      <c r="M15" s="46"/>
      <c r="N15" s="47"/>
    </row>
    <row r="16" spans="1:14" ht="12.75">
      <c r="B16" s="8"/>
      <c r="C16" s="59"/>
      <c r="D16" s="60"/>
      <c r="E16" s="59"/>
      <c r="F16" s="60"/>
      <c r="G16" s="59"/>
      <c r="H16" s="60"/>
      <c r="I16" s="91"/>
      <c r="J16" s="92"/>
      <c r="K16" s="48" t="s">
        <v>13</v>
      </c>
      <c r="L16" s="16"/>
      <c r="M16" s="27"/>
      <c r="N16" s="28"/>
    </row>
    <row r="17" spans="2:14" ht="18" customHeight="1">
      <c r="B17" s="6"/>
      <c r="C17" s="61"/>
      <c r="D17" s="62"/>
      <c r="E17" s="61"/>
      <c r="F17" s="62"/>
      <c r="G17" s="61"/>
      <c r="H17" s="62"/>
      <c r="I17" s="77"/>
      <c r="J17" s="78"/>
      <c r="K17" s="49"/>
      <c r="L17" s="17">
        <v>7</v>
      </c>
      <c r="M17" s="63" t="s">
        <v>34</v>
      </c>
      <c r="N17" s="64"/>
    </row>
    <row r="18" spans="2:14" ht="18" customHeight="1">
      <c r="B18" s="9"/>
      <c r="C18" s="79"/>
      <c r="D18" s="80"/>
      <c r="E18" s="79"/>
      <c r="F18" s="80"/>
      <c r="G18" s="79"/>
      <c r="H18" s="80"/>
      <c r="I18" s="79"/>
      <c r="J18" s="81"/>
      <c r="K18" s="49"/>
      <c r="L18" s="17">
        <v>14</v>
      </c>
      <c r="M18" s="57" t="s">
        <v>37</v>
      </c>
      <c r="N18" s="58"/>
    </row>
    <row r="19" spans="2:14" ht="18" customHeight="1">
      <c r="B19" s="6"/>
      <c r="C19" s="61"/>
      <c r="D19" s="62"/>
      <c r="E19" s="61"/>
      <c r="F19" s="62"/>
      <c r="G19" s="61"/>
      <c r="H19" s="62"/>
      <c r="I19" s="77"/>
      <c r="J19" s="78"/>
      <c r="K19" s="11"/>
      <c r="L19" s="17">
        <v>21</v>
      </c>
      <c r="M19" s="57" t="s">
        <v>35</v>
      </c>
      <c r="N19" s="58"/>
    </row>
    <row r="20" spans="2:14" ht="18" customHeight="1">
      <c r="B20" s="8"/>
      <c r="C20" s="59"/>
      <c r="D20" s="60"/>
      <c r="E20" s="59"/>
      <c r="F20" s="60"/>
      <c r="G20" s="59"/>
      <c r="H20" s="60"/>
      <c r="I20" s="59"/>
      <c r="J20" s="73"/>
      <c r="K20" s="11"/>
      <c r="L20" s="17">
        <v>28</v>
      </c>
      <c r="M20" s="42"/>
      <c r="N20" s="43"/>
    </row>
    <row r="21" spans="2:14" ht="18" customHeight="1">
      <c r="B21" s="6"/>
      <c r="C21" s="61"/>
      <c r="D21" s="62"/>
      <c r="E21" s="61"/>
      <c r="F21" s="62"/>
      <c r="G21" s="61"/>
      <c r="H21" s="62"/>
      <c r="I21" s="89"/>
      <c r="J21" s="90"/>
      <c r="K21" s="13"/>
      <c r="L21" s="19"/>
      <c r="M21" s="46"/>
      <c r="N21" s="47"/>
    </row>
    <row r="22" spans="2:14" ht="18" customHeight="1">
      <c r="B22" s="8"/>
      <c r="C22" s="59"/>
      <c r="D22" s="60"/>
      <c r="E22" s="59"/>
      <c r="F22" s="60"/>
      <c r="G22" s="59"/>
      <c r="H22" s="60"/>
      <c r="I22" s="59"/>
      <c r="J22" s="73"/>
      <c r="K22" s="48" t="s">
        <v>14</v>
      </c>
      <c r="L22" s="16"/>
      <c r="M22" s="50"/>
      <c r="N22" s="51"/>
    </row>
    <row r="23" spans="2:14" ht="18" customHeight="1">
      <c r="B23" s="6"/>
      <c r="C23" s="61"/>
      <c r="D23" s="62"/>
      <c r="E23" s="61"/>
      <c r="F23" s="62"/>
      <c r="G23" s="61"/>
      <c r="H23" s="62"/>
      <c r="I23" s="77"/>
      <c r="J23" s="78"/>
      <c r="K23" s="49"/>
      <c r="L23" s="17">
        <v>8</v>
      </c>
      <c r="M23" s="63" t="s">
        <v>34</v>
      </c>
      <c r="N23" s="64"/>
    </row>
    <row r="24" spans="2:14" ht="18" customHeight="1">
      <c r="B24" s="8"/>
      <c r="C24" s="59"/>
      <c r="D24" s="60"/>
      <c r="E24" s="59"/>
      <c r="F24" s="60"/>
      <c r="G24" s="59"/>
      <c r="H24" s="60"/>
      <c r="I24" s="59"/>
      <c r="J24" s="73"/>
      <c r="K24" s="49"/>
      <c r="L24" s="17">
        <v>15</v>
      </c>
      <c r="M24" s="57" t="s">
        <v>37</v>
      </c>
      <c r="N24" s="58"/>
    </row>
    <row r="25" spans="2:14" ht="18" customHeight="1">
      <c r="B25" s="6"/>
      <c r="C25" s="61"/>
      <c r="D25" s="62"/>
      <c r="E25" s="61"/>
      <c r="F25" s="62"/>
      <c r="G25" s="61"/>
      <c r="H25" s="62"/>
      <c r="I25" s="77"/>
      <c r="J25" s="78"/>
      <c r="K25" s="49"/>
      <c r="L25" s="17">
        <v>22</v>
      </c>
      <c r="M25" s="57" t="s">
        <v>35</v>
      </c>
      <c r="N25" s="58"/>
    </row>
    <row r="26" spans="2:14" ht="18" customHeight="1">
      <c r="B26" s="8"/>
      <c r="C26" s="59"/>
      <c r="D26" s="60"/>
      <c r="E26" s="59"/>
      <c r="F26" s="60"/>
      <c r="G26" s="59"/>
      <c r="H26" s="60"/>
      <c r="I26" s="59"/>
      <c r="J26" s="73"/>
      <c r="K26" s="11"/>
      <c r="L26" s="17">
        <v>29</v>
      </c>
      <c r="M26" s="42"/>
      <c r="N26" s="43"/>
    </row>
    <row r="27" spans="2:14" ht="18" customHeight="1">
      <c r="B27" s="6"/>
      <c r="C27" s="61"/>
      <c r="D27" s="62"/>
      <c r="E27" s="61"/>
      <c r="F27" s="62"/>
      <c r="G27" s="61"/>
      <c r="H27" s="62"/>
      <c r="I27" s="77"/>
      <c r="J27" s="78"/>
      <c r="K27" s="13"/>
      <c r="L27" s="19"/>
      <c r="M27" s="46"/>
      <c r="N27" s="47"/>
    </row>
    <row r="28" spans="2:14" ht="18" customHeight="1">
      <c r="B28" s="8"/>
      <c r="C28" s="59"/>
      <c r="D28" s="60"/>
      <c r="E28" s="59"/>
      <c r="F28" s="60"/>
      <c r="G28" s="59"/>
      <c r="H28" s="60"/>
      <c r="I28" s="59"/>
      <c r="J28" s="73"/>
      <c r="K28" s="52" t="s">
        <v>15</v>
      </c>
      <c r="L28" s="16">
        <v>9</v>
      </c>
      <c r="M28" s="63" t="s">
        <v>34</v>
      </c>
      <c r="N28" s="64"/>
    </row>
    <row r="29" spans="2:14" ht="18" customHeight="1">
      <c r="B29" s="6"/>
      <c r="C29" s="61"/>
      <c r="D29" s="62"/>
      <c r="E29" s="61"/>
      <c r="F29" s="62"/>
      <c r="G29" s="61"/>
      <c r="H29" s="62"/>
      <c r="I29" s="61"/>
      <c r="J29" s="82"/>
      <c r="K29" s="53"/>
      <c r="L29" s="17">
        <v>16</v>
      </c>
      <c r="M29" s="57" t="s">
        <v>37</v>
      </c>
      <c r="N29" s="58"/>
    </row>
    <row r="30" spans="2:14" ht="18" customHeight="1">
      <c r="B30" s="6"/>
      <c r="C30" s="61"/>
      <c r="D30" s="62"/>
      <c r="E30" s="61"/>
      <c r="F30" s="62"/>
      <c r="G30" s="61"/>
      <c r="H30" s="62"/>
      <c r="I30" s="61"/>
      <c r="J30" s="82"/>
      <c r="K30" s="53"/>
      <c r="L30" s="17">
        <v>23</v>
      </c>
      <c r="M30" s="57" t="s">
        <v>35</v>
      </c>
      <c r="N30" s="58"/>
    </row>
    <row r="31" spans="2:14" ht="18" customHeight="1">
      <c r="B31" s="93" t="s">
        <v>26</v>
      </c>
      <c r="C31" s="94"/>
      <c r="D31" s="94"/>
      <c r="E31" s="94"/>
      <c r="F31" s="94"/>
      <c r="G31" s="94"/>
      <c r="H31" s="94"/>
      <c r="I31" s="94"/>
      <c r="J31" s="95"/>
      <c r="K31" s="14"/>
      <c r="L31" s="17">
        <v>30</v>
      </c>
      <c r="M31" s="42"/>
      <c r="N31" s="43"/>
    </row>
    <row r="32" spans="2:14" ht="18" customHeight="1">
      <c r="B32" s="96"/>
      <c r="C32" s="97"/>
      <c r="D32" s="97"/>
      <c r="E32" s="97"/>
      <c r="F32" s="97"/>
      <c r="G32" s="97"/>
      <c r="H32" s="97"/>
      <c r="I32" s="97"/>
      <c r="J32" s="98"/>
      <c r="K32" s="14"/>
      <c r="L32" s="17"/>
      <c r="M32" s="42"/>
      <c r="N32" s="43"/>
    </row>
    <row r="33" spans="2:14" ht="18" customHeight="1">
      <c r="B33" s="96"/>
      <c r="C33" s="97"/>
      <c r="D33" s="97"/>
      <c r="E33" s="97"/>
      <c r="F33" s="97"/>
      <c r="G33" s="97"/>
      <c r="H33" s="97"/>
      <c r="I33" s="97"/>
      <c r="J33" s="98"/>
      <c r="K33" s="15"/>
      <c r="L33" s="20"/>
      <c r="M33" s="46"/>
      <c r="N33" s="47"/>
    </row>
    <row r="34" spans="2:14" ht="16.5" customHeight="1">
      <c r="K34" s="54"/>
      <c r="L34" s="16"/>
      <c r="M34" s="55"/>
      <c r="N34" s="56"/>
    </row>
    <row r="35" spans="2:14" ht="16.5" customHeight="1">
      <c r="K35" s="53"/>
      <c r="L35" s="17"/>
      <c r="M35" s="42"/>
      <c r="N35" s="43"/>
    </row>
    <row r="36" spans="2:14" ht="16.5" customHeight="1">
      <c r="K36" s="53"/>
      <c r="L36" s="17"/>
      <c r="M36" s="42"/>
      <c r="N36" s="43"/>
    </row>
    <row r="37" spans="2:14" ht="16.5" customHeight="1">
      <c r="K37" s="11"/>
      <c r="L37" s="17"/>
      <c r="M37" s="42"/>
      <c r="N37" s="43"/>
    </row>
    <row r="38" spans="2:14" ht="16.5" customHeight="1">
      <c r="K38" s="11"/>
      <c r="L38" s="17"/>
      <c r="M38" s="42"/>
      <c r="N38" s="43"/>
    </row>
    <row r="39" spans="2:14" ht="16.5" customHeight="1">
      <c r="K39" s="12"/>
      <c r="L39" s="18"/>
      <c r="M39" s="46"/>
      <c r="N39" s="47"/>
    </row>
    <row r="40" spans="2:14" ht="16.5" customHeight="1">
      <c r="K40" s="52"/>
      <c r="L40" s="16"/>
      <c r="M40" s="42"/>
      <c r="N40" s="43"/>
    </row>
    <row r="41" spans="2:14" ht="16.5" customHeight="1">
      <c r="K41" s="53"/>
      <c r="L41" s="17"/>
      <c r="M41" s="42"/>
      <c r="N41" s="43"/>
    </row>
    <row r="42" spans="2:14" ht="16.5" customHeight="1">
      <c r="K42" s="53"/>
      <c r="L42" s="17"/>
      <c r="M42" s="42"/>
      <c r="N42" s="43"/>
    </row>
    <row r="43" spans="2:14" ht="16.5" customHeight="1">
      <c r="K43" s="11"/>
      <c r="L43" s="17"/>
      <c r="M43" s="42"/>
      <c r="N43" s="43"/>
    </row>
    <row r="44" spans="2:14" ht="16.5" customHeight="1">
      <c r="K44" s="11"/>
      <c r="L44" s="17"/>
      <c r="M44" s="46"/>
      <c r="N44" s="47"/>
    </row>
    <row r="45" spans="2:14" ht="16.5" customHeight="1">
      <c r="K45" s="13"/>
      <c r="L45" s="19"/>
      <c r="M45" s="46"/>
      <c r="N45" s="47"/>
    </row>
    <row r="46" spans="2:14" ht="16.5" customHeight="1">
      <c r="K46" s="48"/>
      <c r="L46" s="16"/>
      <c r="M46" s="27"/>
      <c r="N46" s="28"/>
    </row>
    <row r="47" spans="2:14" ht="16.5" customHeight="1">
      <c r="K47" s="49"/>
      <c r="L47" s="17"/>
      <c r="M47" s="42"/>
      <c r="N47" s="43"/>
    </row>
    <row r="48" spans="2:14" ht="16.5" customHeight="1">
      <c r="K48" s="49"/>
      <c r="L48" s="17"/>
      <c r="M48" s="42"/>
      <c r="N48" s="43"/>
    </row>
    <row r="49" spans="11:14" ht="16.5" customHeight="1">
      <c r="K49" s="11"/>
      <c r="L49" s="17"/>
      <c r="M49" s="42"/>
      <c r="N49" s="43"/>
    </row>
    <row r="50" spans="11:14" ht="16.5" customHeight="1">
      <c r="K50" s="11"/>
      <c r="L50" s="17"/>
      <c r="M50" s="42"/>
      <c r="N50" s="43"/>
    </row>
    <row r="51" spans="11:14" ht="16.5" customHeight="1">
      <c r="K51" s="13"/>
      <c r="L51" s="19"/>
      <c r="M51" s="46"/>
      <c r="N51" s="47"/>
    </row>
    <row r="52" spans="11:14" ht="16.5" customHeight="1">
      <c r="K52" s="48"/>
      <c r="L52" s="16"/>
      <c r="M52" s="50"/>
      <c r="N52" s="51"/>
    </row>
    <row r="53" spans="11:14" ht="16.5" customHeight="1">
      <c r="K53" s="49"/>
      <c r="L53" s="17"/>
      <c r="M53" s="42"/>
      <c r="N53" s="43"/>
    </row>
    <row r="54" spans="11:14" ht="16.5" customHeight="1">
      <c r="K54" s="49"/>
      <c r="L54" s="17"/>
      <c r="M54" s="42"/>
      <c r="N54" s="43"/>
    </row>
    <row r="55" spans="11:14" ht="16.5" customHeight="1">
      <c r="K55" s="49"/>
      <c r="L55" s="17"/>
      <c r="M55" s="42"/>
      <c r="N55" s="43"/>
    </row>
    <row r="56" spans="11:14" ht="16.5" customHeight="1">
      <c r="K56" s="11"/>
      <c r="L56" s="17"/>
      <c r="M56" s="42"/>
      <c r="N56" s="43"/>
    </row>
    <row r="57" spans="11:14" ht="16.5" customHeight="1">
      <c r="K57" s="13"/>
      <c r="L57" s="19"/>
      <c r="M57" s="46"/>
      <c r="N57" s="47"/>
    </row>
    <row r="58" spans="11:14" ht="16.5" customHeight="1">
      <c r="K58" s="52"/>
      <c r="L58" s="16"/>
      <c r="M58" s="50"/>
      <c r="N58" s="51"/>
    </row>
    <row r="59" spans="11:14" ht="16.5" customHeight="1">
      <c r="K59" s="53"/>
      <c r="L59" s="17"/>
      <c r="M59" s="42"/>
      <c r="N59" s="43"/>
    </row>
    <row r="60" spans="11:14" ht="16.5" customHeight="1">
      <c r="K60" s="53"/>
      <c r="L60" s="17"/>
      <c r="M60" s="42"/>
      <c r="N60" s="43"/>
    </row>
    <row r="61" spans="11:14" ht="16.5" customHeight="1">
      <c r="K61" s="14"/>
      <c r="L61" s="17"/>
      <c r="M61" s="42"/>
      <c r="N61" s="43"/>
    </row>
    <row r="62" spans="11:14" ht="16.5" customHeight="1">
      <c r="K62" s="14"/>
      <c r="L62" s="17"/>
      <c r="M62" s="42"/>
      <c r="N62" s="43"/>
    </row>
    <row r="63" spans="11:14" ht="16.5" customHeight="1">
      <c r="K63" s="15"/>
      <c r="L63" s="20"/>
      <c r="M63" s="46"/>
      <c r="N63" s="47"/>
    </row>
    <row r="64" spans="11:14" ht="16.5" customHeight="1">
      <c r="K64" s="54"/>
      <c r="L64" s="16"/>
      <c r="M64" s="55"/>
      <c r="N64" s="56"/>
    </row>
    <row r="65" spans="11:14" ht="16.5" customHeight="1">
      <c r="K65" s="53"/>
      <c r="L65" s="17"/>
      <c r="M65" s="42"/>
      <c r="N65" s="43"/>
    </row>
    <row r="66" spans="11:14" ht="16.5" customHeight="1">
      <c r="K66" s="53"/>
      <c r="L66" s="17"/>
      <c r="M66" s="42"/>
      <c r="N66" s="43"/>
    </row>
    <row r="67" spans="11:14" ht="16.5" customHeight="1">
      <c r="K67" s="11"/>
      <c r="L67" s="17"/>
      <c r="M67" s="42"/>
      <c r="N67" s="43"/>
    </row>
    <row r="68" spans="11:14" ht="16.5" customHeight="1">
      <c r="K68" s="11"/>
      <c r="L68" s="17"/>
      <c r="M68" s="42"/>
      <c r="N68" s="43"/>
    </row>
    <row r="69" spans="11:14" ht="16.5" customHeight="1">
      <c r="K69" s="12"/>
      <c r="L69" s="18"/>
      <c r="M69" s="46"/>
      <c r="N69" s="47"/>
    </row>
    <row r="70" spans="11:14" ht="16.5" customHeight="1">
      <c r="K70" s="52"/>
      <c r="L70" s="16"/>
      <c r="M70" s="42"/>
      <c r="N70" s="43"/>
    </row>
    <row r="71" spans="11:14" ht="16.5" customHeight="1">
      <c r="K71" s="53"/>
      <c r="L71" s="17"/>
      <c r="M71" s="42"/>
      <c r="N71" s="43"/>
    </row>
    <row r="72" spans="11:14" ht="16.5" customHeight="1">
      <c r="K72" s="53"/>
      <c r="L72" s="17"/>
      <c r="M72" s="42"/>
      <c r="N72" s="43"/>
    </row>
    <row r="73" spans="11:14" ht="16.5" customHeight="1">
      <c r="K73" s="11"/>
      <c r="L73" s="17"/>
      <c r="M73" s="42"/>
      <c r="N73" s="43"/>
    </row>
    <row r="74" spans="11:14" ht="16.5" customHeight="1">
      <c r="K74" s="11"/>
      <c r="L74" s="17"/>
      <c r="M74" s="46"/>
      <c r="N74" s="47"/>
    </row>
    <row r="75" spans="11:14" ht="16.5" customHeight="1">
      <c r="K75" s="13"/>
      <c r="L75" s="19"/>
      <c r="M75" s="46"/>
      <c r="N75" s="47"/>
    </row>
    <row r="76" spans="11:14" ht="16.5" customHeight="1">
      <c r="K76" s="48"/>
      <c r="L76" s="16"/>
      <c r="M76" s="27"/>
      <c r="N76" s="28"/>
    </row>
    <row r="77" spans="11:14" ht="16.5" customHeight="1">
      <c r="K77" s="49"/>
      <c r="L77" s="17"/>
      <c r="M77" s="42"/>
      <c r="N77" s="43"/>
    </row>
    <row r="78" spans="11:14" ht="16.5" customHeight="1">
      <c r="K78" s="49"/>
      <c r="L78" s="17"/>
      <c r="M78" s="42"/>
      <c r="N78" s="43"/>
    </row>
    <row r="79" spans="11:14" ht="16.5" customHeight="1">
      <c r="K79" s="11"/>
      <c r="L79" s="17"/>
      <c r="M79" s="42"/>
      <c r="N79" s="43"/>
    </row>
    <row r="80" spans="11:14" ht="16.5" customHeight="1">
      <c r="K80" s="11"/>
      <c r="L80" s="17"/>
      <c r="M80" s="42"/>
      <c r="N80" s="43"/>
    </row>
    <row r="81" spans="11:14" ht="16.5" customHeight="1">
      <c r="K81" s="13"/>
      <c r="L81" s="19"/>
      <c r="M81" s="46"/>
      <c r="N81" s="47"/>
    </row>
    <row r="82" spans="11:14" ht="16.5" customHeight="1">
      <c r="K82" s="48"/>
      <c r="L82" s="16"/>
      <c r="M82" s="50"/>
      <c r="N82" s="51"/>
    </row>
    <row r="83" spans="11:14" ht="16.5" customHeight="1">
      <c r="K83" s="49"/>
      <c r="L83" s="17"/>
      <c r="M83" s="42"/>
      <c r="N83" s="43"/>
    </row>
    <row r="84" spans="11:14" ht="16.5" customHeight="1">
      <c r="K84" s="49"/>
      <c r="L84" s="17"/>
      <c r="M84" s="42"/>
      <c r="N84" s="43"/>
    </row>
    <row r="85" spans="11:14" ht="16.5" customHeight="1">
      <c r="K85" s="49"/>
      <c r="L85" s="17"/>
      <c r="M85" s="42"/>
      <c r="N85" s="43"/>
    </row>
    <row r="86" spans="11:14" ht="16.5" customHeight="1">
      <c r="K86" s="11"/>
      <c r="L86" s="17"/>
      <c r="M86" s="42"/>
      <c r="N86" s="43"/>
    </row>
    <row r="87" spans="11:14" ht="16.5" customHeight="1">
      <c r="K87" s="13"/>
      <c r="L87" s="19"/>
      <c r="M87" s="46"/>
      <c r="N87" s="47"/>
    </row>
    <row r="88" spans="11:14" ht="16.5" customHeight="1">
      <c r="K88" s="52"/>
      <c r="L88" s="16"/>
      <c r="M88" s="50"/>
      <c r="N88" s="51"/>
    </row>
    <row r="89" spans="11:14" ht="16.5" customHeight="1">
      <c r="K89" s="53"/>
      <c r="L89" s="17"/>
      <c r="M89" s="42"/>
      <c r="N89" s="43"/>
    </row>
    <row r="90" spans="11:14" ht="16.5" customHeight="1">
      <c r="K90" s="53"/>
      <c r="L90" s="17"/>
      <c r="M90" s="42"/>
      <c r="N90" s="43"/>
    </row>
    <row r="91" spans="11:14" ht="16.5" customHeight="1">
      <c r="K91" s="14"/>
      <c r="L91" s="17"/>
      <c r="M91" s="42"/>
      <c r="N91" s="43"/>
    </row>
    <row r="92" spans="11:14" ht="16.5" customHeight="1">
      <c r="K92" s="14"/>
      <c r="L92" s="17"/>
      <c r="M92" s="42"/>
      <c r="N92" s="43"/>
    </row>
    <row r="93" spans="11:14" ht="16.5" customHeight="1">
      <c r="K93" s="15"/>
      <c r="L93" s="20"/>
      <c r="M93" s="46"/>
      <c r="N93" s="47"/>
    </row>
    <row r="94" spans="11:14" ht="16.5" customHeight="1">
      <c r="K94" s="54"/>
      <c r="L94" s="16"/>
      <c r="M94" s="55"/>
      <c r="N94" s="56"/>
    </row>
    <row r="95" spans="11:14" ht="16.5" customHeight="1">
      <c r="K95" s="53"/>
      <c r="L95" s="17"/>
      <c r="M95" s="42"/>
      <c r="N95" s="43"/>
    </row>
    <row r="96" spans="11:14" ht="16.5" customHeight="1">
      <c r="K96" s="53"/>
      <c r="L96" s="17"/>
      <c r="M96" s="42"/>
      <c r="N96" s="43"/>
    </row>
    <row r="97" spans="11:14" ht="16.5" customHeight="1">
      <c r="K97" s="11"/>
      <c r="L97" s="17"/>
      <c r="M97" s="42"/>
      <c r="N97" s="43"/>
    </row>
    <row r="98" spans="11:14" ht="16.5" customHeight="1">
      <c r="K98" s="11"/>
      <c r="L98" s="17"/>
      <c r="M98" s="42"/>
      <c r="N98" s="43"/>
    </row>
    <row r="99" spans="11:14" ht="16.5" customHeight="1">
      <c r="K99" s="12"/>
      <c r="L99" s="18"/>
      <c r="M99" s="46"/>
      <c r="N99" s="47"/>
    </row>
    <row r="100" spans="11:14" ht="16.5" customHeight="1">
      <c r="K100" s="52"/>
      <c r="L100" s="16"/>
      <c r="M100" s="42"/>
      <c r="N100" s="43"/>
    </row>
    <row r="101" spans="11:14" ht="16.5" customHeight="1">
      <c r="K101" s="53"/>
      <c r="L101" s="17"/>
      <c r="M101" s="42"/>
      <c r="N101" s="43"/>
    </row>
    <row r="102" spans="11:14" ht="16.5" customHeight="1">
      <c r="K102" s="53"/>
      <c r="L102" s="17"/>
      <c r="M102" s="42"/>
      <c r="N102" s="43"/>
    </row>
    <row r="103" spans="11:14" ht="16.5" customHeight="1">
      <c r="K103" s="11"/>
      <c r="L103" s="17"/>
      <c r="M103" s="42"/>
      <c r="N103" s="43"/>
    </row>
    <row r="104" spans="11:14" ht="16.5" customHeight="1">
      <c r="K104" s="11"/>
      <c r="L104" s="17"/>
      <c r="M104" s="46"/>
      <c r="N104" s="47"/>
    </row>
    <row r="105" spans="11:14" ht="16.5" customHeight="1">
      <c r="K105" s="13"/>
      <c r="L105" s="19"/>
      <c r="M105" s="46"/>
      <c r="N105" s="47"/>
    </row>
    <row r="106" spans="11:14" ht="16.5" customHeight="1">
      <c r="K106" s="48"/>
      <c r="L106" s="16"/>
      <c r="M106" s="27"/>
      <c r="N106" s="28"/>
    </row>
    <row r="107" spans="11:14" ht="16.5" customHeight="1">
      <c r="K107" s="49"/>
      <c r="L107" s="17"/>
      <c r="M107" s="42"/>
      <c r="N107" s="43"/>
    </row>
    <row r="108" spans="11:14" ht="16.5" customHeight="1">
      <c r="K108" s="49"/>
      <c r="L108" s="17"/>
      <c r="M108" s="42"/>
      <c r="N108" s="43"/>
    </row>
    <row r="109" spans="11:14" ht="16.5" customHeight="1">
      <c r="K109" s="11"/>
      <c r="L109" s="17"/>
      <c r="M109" s="42"/>
      <c r="N109" s="43"/>
    </row>
    <row r="110" spans="11:14" ht="16.5" customHeight="1">
      <c r="K110" s="11"/>
      <c r="L110" s="17"/>
      <c r="M110" s="42"/>
      <c r="N110" s="43"/>
    </row>
    <row r="111" spans="11:14" ht="16.5" customHeight="1">
      <c r="K111" s="13"/>
      <c r="L111" s="19"/>
      <c r="M111" s="46"/>
      <c r="N111" s="47"/>
    </row>
    <row r="112" spans="11:14" ht="16.5" customHeight="1">
      <c r="K112" s="48"/>
      <c r="L112" s="16"/>
      <c r="M112" s="50"/>
      <c r="N112" s="51"/>
    </row>
    <row r="113" spans="11:14" ht="16.5" customHeight="1">
      <c r="K113" s="49"/>
      <c r="L113" s="17"/>
      <c r="M113" s="42"/>
      <c r="N113" s="43"/>
    </row>
    <row r="114" spans="11:14" ht="16.5" customHeight="1">
      <c r="K114" s="49"/>
      <c r="L114" s="17"/>
      <c r="M114" s="42"/>
      <c r="N114" s="43"/>
    </row>
    <row r="115" spans="11:14" ht="16.5" customHeight="1">
      <c r="K115" s="49"/>
      <c r="L115" s="17"/>
      <c r="M115" s="42"/>
      <c r="N115" s="43"/>
    </row>
    <row r="116" spans="11:14" ht="16.5" customHeight="1">
      <c r="K116" s="11"/>
      <c r="L116" s="17"/>
      <c r="M116" s="42"/>
      <c r="N116" s="43"/>
    </row>
    <row r="117" spans="11:14" ht="16.5" customHeight="1">
      <c r="K117" s="13"/>
      <c r="L117" s="19"/>
      <c r="M117" s="46"/>
      <c r="N117" s="47"/>
    </row>
    <row r="118" spans="11:14" ht="16.5" customHeight="1">
      <c r="K118" s="52"/>
      <c r="L118" s="16"/>
      <c r="M118" s="50"/>
      <c r="N118" s="51"/>
    </row>
    <row r="119" spans="11:14" ht="16.5" customHeight="1">
      <c r="K119" s="53"/>
      <c r="L119" s="17"/>
      <c r="M119" s="42"/>
      <c r="N119" s="43"/>
    </row>
    <row r="120" spans="11:14" ht="16.5" customHeight="1">
      <c r="K120" s="53"/>
      <c r="L120" s="17"/>
      <c r="M120" s="42"/>
      <c r="N120" s="43"/>
    </row>
    <row r="121" spans="11:14" ht="16.5" customHeight="1">
      <c r="K121" s="14"/>
      <c r="L121" s="17"/>
      <c r="M121" s="42"/>
      <c r="N121" s="43"/>
    </row>
    <row r="122" spans="11:14" ht="16.5" customHeight="1">
      <c r="K122" s="14"/>
      <c r="L122" s="17"/>
      <c r="M122" s="42"/>
      <c r="N122" s="43"/>
    </row>
    <row r="123" spans="11:14" ht="16.5" customHeight="1">
      <c r="K123" s="15"/>
      <c r="L123" s="20"/>
      <c r="M123" s="46"/>
      <c r="N123" s="47"/>
    </row>
    <row r="124" spans="11:14" ht="16.5" customHeight="1">
      <c r="K124" s="54"/>
      <c r="L124" s="16"/>
      <c r="M124" s="55"/>
      <c r="N124" s="56"/>
    </row>
    <row r="125" spans="11:14" ht="16.5" customHeight="1">
      <c r="K125" s="53"/>
      <c r="L125" s="17"/>
      <c r="M125" s="42"/>
      <c r="N125" s="43"/>
    </row>
    <row r="126" spans="11:14" ht="16.5" customHeight="1">
      <c r="K126" s="53"/>
      <c r="L126" s="17"/>
      <c r="M126" s="42"/>
      <c r="N126" s="43"/>
    </row>
    <row r="127" spans="11:14" ht="16.5" customHeight="1">
      <c r="K127" s="11"/>
      <c r="L127" s="17"/>
      <c r="M127" s="42"/>
      <c r="N127" s="43"/>
    </row>
    <row r="128" spans="11:14" ht="16.5" customHeight="1">
      <c r="K128" s="11"/>
      <c r="L128" s="17"/>
      <c r="M128" s="42"/>
      <c r="N128" s="43"/>
    </row>
    <row r="129" spans="11:14" ht="16.5" customHeight="1">
      <c r="K129" s="12"/>
      <c r="L129" s="18"/>
      <c r="M129" s="46"/>
      <c r="N129" s="47"/>
    </row>
    <row r="130" spans="11:14" ht="16.5" customHeight="1">
      <c r="K130" s="52"/>
      <c r="L130" s="16"/>
      <c r="M130" s="42"/>
      <c r="N130" s="43"/>
    </row>
    <row r="131" spans="11:14" ht="16.5" customHeight="1">
      <c r="K131" s="53"/>
      <c r="L131" s="17"/>
      <c r="M131" s="42"/>
      <c r="N131" s="43"/>
    </row>
    <row r="132" spans="11:14" ht="16.5" customHeight="1">
      <c r="K132" s="53"/>
      <c r="L132" s="17"/>
      <c r="M132" s="42"/>
      <c r="N132" s="43"/>
    </row>
    <row r="133" spans="11:14" ht="16.5" customHeight="1">
      <c r="K133" s="11"/>
      <c r="L133" s="17"/>
      <c r="M133" s="42"/>
      <c r="N133" s="43"/>
    </row>
    <row r="134" spans="11:14" ht="16.5" customHeight="1">
      <c r="K134" s="11"/>
      <c r="L134" s="17"/>
      <c r="M134" s="46"/>
      <c r="N134" s="47"/>
    </row>
    <row r="135" spans="11:14" ht="16.5" customHeight="1">
      <c r="K135" s="13"/>
      <c r="L135" s="19"/>
      <c r="M135" s="46"/>
      <c r="N135" s="47"/>
    </row>
    <row r="136" spans="11:14" ht="16.5" customHeight="1">
      <c r="K136" s="48"/>
      <c r="L136" s="16"/>
      <c r="M136" s="27"/>
      <c r="N136" s="28"/>
    </row>
    <row r="137" spans="11:14" ht="16.5" customHeight="1">
      <c r="K137" s="49"/>
      <c r="L137" s="17"/>
      <c r="M137" s="42"/>
      <c r="N137" s="43"/>
    </row>
    <row r="138" spans="11:14" ht="16.5" customHeight="1">
      <c r="K138" s="49"/>
      <c r="L138" s="17"/>
      <c r="M138" s="42"/>
      <c r="N138" s="43"/>
    </row>
    <row r="139" spans="11:14" ht="16.5" customHeight="1">
      <c r="K139" s="11"/>
      <c r="L139" s="17"/>
      <c r="M139" s="42"/>
      <c r="N139" s="43"/>
    </row>
    <row r="140" spans="11:14" ht="16.5" customHeight="1">
      <c r="K140" s="11"/>
      <c r="L140" s="17"/>
      <c r="M140" s="42"/>
      <c r="N140" s="43"/>
    </row>
    <row r="141" spans="11:14" ht="16.5" customHeight="1">
      <c r="K141" s="13"/>
      <c r="L141" s="19"/>
      <c r="M141" s="46"/>
      <c r="N141" s="47"/>
    </row>
    <row r="142" spans="11:14" ht="16.5" customHeight="1">
      <c r="K142" s="48"/>
      <c r="L142" s="16"/>
      <c r="M142" s="50"/>
      <c r="N142" s="51"/>
    </row>
    <row r="143" spans="11:14" ht="16.5" customHeight="1">
      <c r="K143" s="49"/>
      <c r="L143" s="17"/>
      <c r="M143" s="42"/>
      <c r="N143" s="43"/>
    </row>
    <row r="144" spans="11:14" ht="16.5" customHeight="1">
      <c r="K144" s="49"/>
      <c r="L144" s="17"/>
      <c r="M144" s="42"/>
      <c r="N144" s="43"/>
    </row>
    <row r="145" spans="11:14" ht="16.5" customHeight="1">
      <c r="K145" s="49"/>
      <c r="L145" s="17"/>
      <c r="M145" s="42"/>
      <c r="N145" s="43"/>
    </row>
    <row r="146" spans="11:14" ht="16.5" customHeight="1">
      <c r="K146" s="11"/>
      <c r="L146" s="17"/>
      <c r="M146" s="42"/>
      <c r="N146" s="43"/>
    </row>
    <row r="147" spans="11:14" ht="16.5" customHeight="1">
      <c r="K147" s="13"/>
      <c r="L147" s="19"/>
      <c r="M147" s="46"/>
      <c r="N147" s="47"/>
    </row>
  </sheetData>
  <mergeCells count="239">
    <mergeCell ref="M33:N33"/>
    <mergeCell ref="M31:N31"/>
    <mergeCell ref="M32:N32"/>
    <mergeCell ref="M29:N29"/>
    <mergeCell ref="M30:N30"/>
    <mergeCell ref="C30:D30"/>
    <mergeCell ref="E30:F30"/>
    <mergeCell ref="G30:H30"/>
    <mergeCell ref="I30:J30"/>
    <mergeCell ref="B31:J33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M22:N22"/>
    <mergeCell ref="C23:D23"/>
    <mergeCell ref="E23:F23"/>
    <mergeCell ref="G23:H23"/>
    <mergeCell ref="I23:J23"/>
    <mergeCell ref="M23:N23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C15:D15"/>
    <mergeCell ref="E15:F15"/>
    <mergeCell ref="G15:H15"/>
    <mergeCell ref="I15:J15"/>
    <mergeCell ref="M15:N15"/>
    <mergeCell ref="M17:N17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M41:N41"/>
    <mergeCell ref="M42:N42"/>
    <mergeCell ref="M10:N10"/>
    <mergeCell ref="B11:J12"/>
    <mergeCell ref="M11:N11"/>
    <mergeCell ref="M12:N12"/>
    <mergeCell ref="C13:D13"/>
    <mergeCell ref="E13:F13"/>
    <mergeCell ref="G13:H13"/>
    <mergeCell ref="I13:J13"/>
    <mergeCell ref="M51:N51"/>
    <mergeCell ref="K34:K36"/>
    <mergeCell ref="M34:N34"/>
    <mergeCell ref="M35:N35"/>
    <mergeCell ref="M36:N36"/>
    <mergeCell ref="M37:N37"/>
    <mergeCell ref="M38:N38"/>
    <mergeCell ref="M39:N39"/>
    <mergeCell ref="K40:K42"/>
    <mergeCell ref="M40:N40"/>
    <mergeCell ref="M59:N59"/>
    <mergeCell ref="M60:N60"/>
    <mergeCell ref="M43:N43"/>
    <mergeCell ref="M44:N44"/>
    <mergeCell ref="M45:N45"/>
    <mergeCell ref="K46:K48"/>
    <mergeCell ref="M47:N47"/>
    <mergeCell ref="M48:N48"/>
    <mergeCell ref="M49:N49"/>
    <mergeCell ref="M50:N50"/>
    <mergeCell ref="M68:N68"/>
    <mergeCell ref="K52:K55"/>
    <mergeCell ref="M52:N52"/>
    <mergeCell ref="M53:N53"/>
    <mergeCell ref="M54:N54"/>
    <mergeCell ref="M55:N55"/>
    <mergeCell ref="M56:N56"/>
    <mergeCell ref="M57:N57"/>
    <mergeCell ref="K58:K60"/>
    <mergeCell ref="M58:N58"/>
    <mergeCell ref="M77:N77"/>
    <mergeCell ref="M78:N78"/>
    <mergeCell ref="M61:N61"/>
    <mergeCell ref="M62:N62"/>
    <mergeCell ref="M63:N63"/>
    <mergeCell ref="K64:K66"/>
    <mergeCell ref="M64:N64"/>
    <mergeCell ref="M65:N65"/>
    <mergeCell ref="M66:N66"/>
    <mergeCell ref="M67:N67"/>
    <mergeCell ref="M86:N86"/>
    <mergeCell ref="M69:N69"/>
    <mergeCell ref="K70:K72"/>
    <mergeCell ref="M70:N70"/>
    <mergeCell ref="M71:N71"/>
    <mergeCell ref="M72:N72"/>
    <mergeCell ref="M73:N73"/>
    <mergeCell ref="M74:N74"/>
    <mergeCell ref="M75:N75"/>
    <mergeCell ref="K76:K78"/>
    <mergeCell ref="M79:N79"/>
    <mergeCell ref="M80:N80"/>
    <mergeCell ref="M81:N81"/>
    <mergeCell ref="K82:K85"/>
    <mergeCell ref="M82:N82"/>
    <mergeCell ref="M83:N83"/>
    <mergeCell ref="M84:N84"/>
    <mergeCell ref="M85:N85"/>
    <mergeCell ref="M92:N92"/>
    <mergeCell ref="M93:N93"/>
    <mergeCell ref="K94:K96"/>
    <mergeCell ref="M94:N94"/>
    <mergeCell ref="M95:N95"/>
    <mergeCell ref="M96:N96"/>
    <mergeCell ref="M87:N87"/>
    <mergeCell ref="K88:K90"/>
    <mergeCell ref="M88:N88"/>
    <mergeCell ref="M89:N89"/>
    <mergeCell ref="M90:N90"/>
    <mergeCell ref="M91:N91"/>
    <mergeCell ref="K100:K102"/>
    <mergeCell ref="M100:N100"/>
    <mergeCell ref="M101:N101"/>
    <mergeCell ref="M102:N102"/>
    <mergeCell ref="M103:N103"/>
    <mergeCell ref="M104:N104"/>
    <mergeCell ref="M112:N112"/>
    <mergeCell ref="M113:N113"/>
    <mergeCell ref="M114:N114"/>
    <mergeCell ref="M115:N115"/>
    <mergeCell ref="M97:N97"/>
    <mergeCell ref="M98:N98"/>
    <mergeCell ref="M99:N99"/>
    <mergeCell ref="M122:N122"/>
    <mergeCell ref="M123:N123"/>
    <mergeCell ref="M105:N105"/>
    <mergeCell ref="K106:K108"/>
    <mergeCell ref="M107:N107"/>
    <mergeCell ref="M108:N108"/>
    <mergeCell ref="M109:N109"/>
    <mergeCell ref="M110:N110"/>
    <mergeCell ref="M111:N111"/>
    <mergeCell ref="K112:K115"/>
    <mergeCell ref="M139:N139"/>
    <mergeCell ref="M140:N140"/>
    <mergeCell ref="M141:N141"/>
    <mergeCell ref="M116:N116"/>
    <mergeCell ref="M117:N117"/>
    <mergeCell ref="K118:K120"/>
    <mergeCell ref="M118:N118"/>
    <mergeCell ref="M119:N119"/>
    <mergeCell ref="M120:N120"/>
    <mergeCell ref="M121:N121"/>
    <mergeCell ref="M131:N131"/>
    <mergeCell ref="M132:N132"/>
    <mergeCell ref="M133:N133"/>
    <mergeCell ref="M134:N134"/>
    <mergeCell ref="M135:N135"/>
    <mergeCell ref="K136:K138"/>
    <mergeCell ref="M137:N137"/>
    <mergeCell ref="M138:N138"/>
    <mergeCell ref="M147:N147"/>
    <mergeCell ref="K124:K126"/>
    <mergeCell ref="M124:N124"/>
    <mergeCell ref="M125:N125"/>
    <mergeCell ref="M126:N126"/>
    <mergeCell ref="M127:N127"/>
    <mergeCell ref="M128:N128"/>
    <mergeCell ref="M129:N129"/>
    <mergeCell ref="K130:K132"/>
    <mergeCell ref="M130:N130"/>
    <mergeCell ref="K142:K145"/>
    <mergeCell ref="M142:N142"/>
    <mergeCell ref="M143:N143"/>
    <mergeCell ref="M144:N144"/>
    <mergeCell ref="M145:N145"/>
    <mergeCell ref="M146:N146"/>
  </mergeCells>
  <conditionalFormatting sqref="C4:H4">
    <cfRule type="expression" dxfId="53" priority="7" stopIfTrue="1">
      <formula>DAY(C4)&gt;8</formula>
    </cfRule>
  </conditionalFormatting>
  <conditionalFormatting sqref="C8:I10">
    <cfRule type="expression" dxfId="52" priority="6" stopIfTrue="1">
      <formula>AND(DAY(C8)&gt;=1,DAY(C8)&lt;=15)</formula>
    </cfRule>
  </conditionalFormatting>
  <conditionalFormatting sqref="C4:I9">
    <cfRule type="expression" dxfId="51" priority="8">
      <formula>VLOOKUP(DAY(C4),DíasDeTareas,1,FALSE)=DAY(C4)</formula>
    </cfRule>
  </conditionalFormatting>
  <conditionalFormatting sqref="B14:J29">
    <cfRule type="expression" dxfId="50" priority="5">
      <formula>B14&lt;&gt;""</formula>
    </cfRule>
  </conditionalFormatting>
  <conditionalFormatting sqref="B30:J30">
    <cfRule type="expression" dxfId="49" priority="3">
      <formula>B30&lt;&gt;""</formula>
    </cfRule>
  </conditionalFormatting>
  <conditionalFormatting sqref="B31">
    <cfRule type="expression" dxfId="48" priority="2">
      <formula>B31&lt;&gt;""</formula>
    </cfRule>
  </conditionalFormatting>
  <conditionalFormatting sqref="B31">
    <cfRule type="expression" dxfId="47" priority="1">
      <formula>B31&lt;&gt;""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O149"/>
  <sheetViews>
    <sheetView showGridLines="0" tabSelected="1" topLeftCell="B1" zoomScaleNormal="100" zoomScalePageLayoutView="84" workbookViewId="0">
      <selection activeCell="G27" sqref="G27:H27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83" t="s">
        <v>22</v>
      </c>
      <c r="C2" s="21"/>
      <c r="D2" s="21"/>
      <c r="E2" s="21"/>
      <c r="F2" s="21"/>
      <c r="G2" s="21"/>
      <c r="H2" s="21"/>
      <c r="I2" s="21"/>
      <c r="J2" s="22"/>
      <c r="K2" s="67" t="s">
        <v>2</v>
      </c>
      <c r="L2" s="68">
        <v>2013</v>
      </c>
      <c r="M2" s="68"/>
      <c r="N2" s="25"/>
    </row>
    <row r="3" spans="1:14" ht="21" customHeight="1">
      <c r="A3" s="4"/>
      <c r="B3" s="84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69"/>
      <c r="L3" s="70"/>
      <c r="M3" s="70"/>
      <c r="N3" s="26"/>
    </row>
    <row r="4" spans="1:14" ht="18" customHeight="1">
      <c r="A4" s="4"/>
      <c r="B4" s="84"/>
      <c r="C4" s="10">
        <f>IF(DAY(MayDom1)=1,MayDom1-6,MayDom1+1)</f>
        <v>44312</v>
      </c>
      <c r="D4" s="10">
        <f>IF(DAY(MayDom1)=1,MayDom1-5,MayDom1+2)</f>
        <v>44313</v>
      </c>
      <c r="E4" s="10">
        <f>IF(DAY(MayDom1)=1,MayDom1-4,MayDom1+3)</f>
        <v>44314</v>
      </c>
      <c r="F4" s="10">
        <f>IF(DAY(MayDom1)=1,MayDom1-3,MayDom1+4)</f>
        <v>44315</v>
      </c>
      <c r="G4" s="10">
        <f>IF(DAY(MayDom1)=1,MayDom1-2,MayDom1+5)</f>
        <v>44316</v>
      </c>
      <c r="H4" s="10">
        <f>IF(DAY(MayDom1)=1,MayDom1-1,MayDom1+6)</f>
        <v>44317</v>
      </c>
      <c r="I4" s="10">
        <f>IF(DAY(MayDom1)=1,MayDom1,MayDom1+7)</f>
        <v>44318</v>
      </c>
      <c r="J4" s="5"/>
      <c r="K4" s="54" t="s">
        <v>36</v>
      </c>
      <c r="L4" s="16">
        <v>3</v>
      </c>
      <c r="M4" s="63" t="s">
        <v>34</v>
      </c>
      <c r="N4" s="64"/>
    </row>
    <row r="5" spans="1:14" ht="18" customHeight="1">
      <c r="A5" s="4"/>
      <c r="B5" s="84"/>
      <c r="C5" s="10">
        <f>IF(DAY(MayDom1)=1,MayDom1+1,MayDom1+8)</f>
        <v>44319</v>
      </c>
      <c r="D5" s="10">
        <f>IF(DAY(MayDom1)=1,MayDom1+2,MayDom1+9)</f>
        <v>44320</v>
      </c>
      <c r="E5" s="10">
        <f>IF(DAY(MayDom1)=1,MayDom1+3,MayDom1+10)</f>
        <v>44321</v>
      </c>
      <c r="F5" s="10">
        <f>IF(DAY(MayDom1)=1,MayDom1+4,MayDom1+11)</f>
        <v>44322</v>
      </c>
      <c r="G5" s="10">
        <f>IF(DAY(MayDom1)=1,MayDom1+5,MayDom1+12)</f>
        <v>44323</v>
      </c>
      <c r="H5" s="10">
        <f>IF(DAY(MayDom1)=1,MayDom1+6,MayDom1+13)</f>
        <v>44324</v>
      </c>
      <c r="I5" s="10">
        <f>IF(DAY(MayDom1)=1,MayDom1+7,MayDom1+14)</f>
        <v>44325</v>
      </c>
      <c r="J5" s="5"/>
      <c r="K5" s="53"/>
      <c r="L5" s="17">
        <v>10</v>
      </c>
      <c r="M5" s="57" t="s">
        <v>37</v>
      </c>
      <c r="N5" s="58"/>
    </row>
    <row r="6" spans="1:14" ht="18" customHeight="1">
      <c r="A6" s="4"/>
      <c r="B6" s="84"/>
      <c r="C6" s="10">
        <f>IF(DAY(MayDom1)=1,MayDom1+8,MayDom1+15)</f>
        <v>44326</v>
      </c>
      <c r="D6" s="10">
        <f>IF(DAY(MayDom1)=1,MayDom1+9,MayDom1+16)</f>
        <v>44327</v>
      </c>
      <c r="E6" s="10">
        <f>IF(DAY(MayDom1)=1,MayDom1+10,MayDom1+17)</f>
        <v>44328</v>
      </c>
      <c r="F6" s="10">
        <f>IF(DAY(MayDom1)=1,MayDom1+11,MayDom1+18)</f>
        <v>44329</v>
      </c>
      <c r="G6" s="10">
        <f>IF(DAY(MayDom1)=1,MayDom1+12,MayDom1+19)</f>
        <v>44330</v>
      </c>
      <c r="H6" s="10">
        <f>IF(DAY(MayDom1)=1,MayDom1+13,MayDom1+20)</f>
        <v>44331</v>
      </c>
      <c r="I6" s="10">
        <f>IF(DAY(MayDom1)=1,MayDom1+14,MayDom1+21)</f>
        <v>44332</v>
      </c>
      <c r="J6" s="5"/>
      <c r="K6" s="53"/>
      <c r="L6" s="17">
        <v>17</v>
      </c>
      <c r="M6" s="57" t="s">
        <v>35</v>
      </c>
      <c r="N6" s="58"/>
    </row>
    <row r="7" spans="1:14" ht="18" customHeight="1">
      <c r="A7" s="4"/>
      <c r="B7" s="84"/>
      <c r="C7" s="10">
        <f>IF(DAY(MayDom1)=1,MayDom1+15,MayDom1+22)</f>
        <v>44333</v>
      </c>
      <c r="D7" s="10">
        <f>IF(DAY(MayDom1)=1,MayDom1+16,MayDom1+23)</f>
        <v>44334</v>
      </c>
      <c r="E7" s="10">
        <f>IF(DAY(MayDom1)=1,MayDom1+17,MayDom1+24)</f>
        <v>44335</v>
      </c>
      <c r="F7" s="10">
        <f>IF(DAY(MayDom1)=1,MayDom1+18,MayDom1+25)</f>
        <v>44336</v>
      </c>
      <c r="G7" s="10">
        <f>IF(DAY(MayDom1)=1,MayDom1+19,MayDom1+26)</f>
        <v>44337</v>
      </c>
      <c r="H7" s="10">
        <f>IF(DAY(MayDom1)=1,MayDom1+20,MayDom1+27)</f>
        <v>44338</v>
      </c>
      <c r="I7" s="10">
        <f>IF(DAY(MayDom1)=1,MayDom1+21,MayDom1+28)</f>
        <v>44339</v>
      </c>
      <c r="J7" s="5"/>
      <c r="K7" s="11"/>
      <c r="L7" s="17">
        <v>24</v>
      </c>
      <c r="M7" s="42"/>
      <c r="N7" s="43"/>
    </row>
    <row r="8" spans="1:14" ht="18.75" customHeight="1">
      <c r="A8" s="4"/>
      <c r="B8" s="84"/>
      <c r="C8" s="10">
        <f>IF(DAY(MayDom1)=1,MayDom1+22,MayDom1+29)</f>
        <v>44340</v>
      </c>
      <c r="D8" s="10">
        <f>IF(DAY(MayDom1)=1,MayDom1+23,MayDom1+30)</f>
        <v>44341</v>
      </c>
      <c r="E8" s="10">
        <f>IF(DAY(MayDom1)=1,MayDom1+24,MayDom1+31)</f>
        <v>44342</v>
      </c>
      <c r="F8" s="10">
        <f>IF(DAY(MayDom1)=1,MayDom1+25,MayDom1+32)</f>
        <v>44343</v>
      </c>
      <c r="G8" s="10">
        <f>IF(DAY(MayDom1)=1,MayDom1+26,MayDom1+33)</f>
        <v>44344</v>
      </c>
      <c r="H8" s="10">
        <f>IF(DAY(MayDom1)=1,MayDom1+27,MayDom1+34)</f>
        <v>44345</v>
      </c>
      <c r="I8" s="10">
        <f>IF(DAY(MayDom1)=1,MayDom1+28,MayDom1+35)</f>
        <v>44346</v>
      </c>
      <c r="J8" s="5"/>
      <c r="K8" s="11"/>
      <c r="L8" s="17">
        <v>31</v>
      </c>
      <c r="M8" s="42"/>
      <c r="N8" s="43"/>
    </row>
    <row r="9" spans="1:14" ht="18" customHeight="1">
      <c r="A9" s="4"/>
      <c r="B9" s="84"/>
      <c r="C9" s="10">
        <f>IF(DAY(MayDom1)=1,MayDom1+29,MayDom1+36)</f>
        <v>44347</v>
      </c>
      <c r="D9" s="10">
        <f>IF(DAY(MayDom1)=1,MayDom1+30,MayDom1+37)</f>
        <v>44348</v>
      </c>
      <c r="E9" s="10">
        <f>IF(DAY(MayDom1)=1,MayDom1+31,MayDom1+38)</f>
        <v>44349</v>
      </c>
      <c r="F9" s="10">
        <f>IF(DAY(MayDom1)=1,MayDom1+32,MayDom1+39)</f>
        <v>44350</v>
      </c>
      <c r="G9" s="10">
        <f>IF(DAY(MayDom1)=1,MayDom1+33,MayDom1+40)</f>
        <v>44351</v>
      </c>
      <c r="H9" s="10">
        <f>IF(DAY(MayDom1)=1,MayDom1+34,MayDom1+41)</f>
        <v>44352</v>
      </c>
      <c r="I9" s="10">
        <f>IF(DAY(MayDom1)=1,MayDom1+35,MayDom1+42)</f>
        <v>44353</v>
      </c>
      <c r="J9" s="5"/>
      <c r="K9" s="12"/>
      <c r="L9" s="18"/>
      <c r="M9" s="46"/>
      <c r="N9" s="47"/>
    </row>
    <row r="10" spans="1:14" ht="18" customHeight="1">
      <c r="A10" s="4"/>
      <c r="B10" s="85"/>
      <c r="C10" s="23"/>
      <c r="D10" s="23"/>
      <c r="E10" s="23"/>
      <c r="F10" s="23"/>
      <c r="G10" s="23"/>
      <c r="H10" s="23"/>
      <c r="I10" s="23"/>
      <c r="J10" s="24"/>
      <c r="K10" s="52" t="s">
        <v>12</v>
      </c>
      <c r="L10" s="16">
        <v>4</v>
      </c>
      <c r="M10" s="63" t="s">
        <v>34</v>
      </c>
      <c r="N10" s="64"/>
    </row>
    <row r="11" spans="1:14" ht="18" customHeight="1">
      <c r="A11" s="4"/>
      <c r="B11" s="86" t="s">
        <v>10</v>
      </c>
      <c r="C11" s="87"/>
      <c r="D11" s="87"/>
      <c r="E11" s="87"/>
      <c r="F11" s="87"/>
      <c r="G11" s="87"/>
      <c r="H11" s="87"/>
      <c r="I11" s="87"/>
      <c r="J11" s="88"/>
      <c r="K11" s="53"/>
      <c r="L11" s="17">
        <v>11</v>
      </c>
      <c r="M11" s="57" t="s">
        <v>37</v>
      </c>
      <c r="N11" s="58"/>
    </row>
    <row r="12" spans="1:14" ht="18" customHeight="1">
      <c r="A12" s="4"/>
      <c r="B12" s="86"/>
      <c r="C12" s="87"/>
      <c r="D12" s="87"/>
      <c r="E12" s="87"/>
      <c r="F12" s="87"/>
      <c r="G12" s="87"/>
      <c r="H12" s="87"/>
      <c r="I12" s="87"/>
      <c r="J12" s="88"/>
      <c r="K12" s="53"/>
      <c r="L12" s="17">
        <v>18</v>
      </c>
      <c r="M12" s="57" t="s">
        <v>35</v>
      </c>
      <c r="N12" s="58"/>
    </row>
    <row r="13" spans="1:14" ht="18" customHeight="1">
      <c r="B13" s="3" t="s">
        <v>11</v>
      </c>
      <c r="C13" s="74" t="s">
        <v>12</v>
      </c>
      <c r="D13" s="76"/>
      <c r="E13" s="74" t="s">
        <v>13</v>
      </c>
      <c r="F13" s="76"/>
      <c r="G13" s="74" t="s">
        <v>14</v>
      </c>
      <c r="H13" s="76"/>
      <c r="I13" s="74" t="s">
        <v>15</v>
      </c>
      <c r="J13" s="75"/>
      <c r="K13" s="11"/>
      <c r="L13" s="17">
        <v>25</v>
      </c>
      <c r="M13" s="42"/>
      <c r="N13" s="43"/>
    </row>
    <row r="14" spans="1:14" ht="18" customHeight="1">
      <c r="B14" s="8"/>
      <c r="C14" s="59"/>
      <c r="D14" s="60"/>
      <c r="E14" s="59"/>
      <c r="F14" s="60"/>
      <c r="G14" s="59"/>
      <c r="H14" s="60"/>
      <c r="I14" s="59"/>
      <c r="J14" s="73"/>
      <c r="K14" s="11"/>
      <c r="L14" s="17"/>
      <c r="M14" s="42"/>
      <c r="N14" s="43"/>
    </row>
    <row r="15" spans="1:14" ht="18" customHeight="1">
      <c r="B15" s="6"/>
      <c r="C15" s="61"/>
      <c r="D15" s="62"/>
      <c r="E15" s="61"/>
      <c r="F15" s="62"/>
      <c r="G15" s="61"/>
      <c r="H15" s="62"/>
      <c r="I15" s="77"/>
      <c r="J15" s="78"/>
      <c r="K15" s="13"/>
      <c r="L15" s="19"/>
      <c r="M15" s="46"/>
      <c r="N15" s="47"/>
    </row>
    <row r="16" spans="1:14" ht="18" customHeight="1">
      <c r="B16" s="8"/>
      <c r="C16" s="59"/>
      <c r="D16" s="60"/>
      <c r="E16" s="59"/>
      <c r="F16" s="60"/>
      <c r="G16" s="59"/>
      <c r="H16" s="60"/>
      <c r="I16" s="91"/>
      <c r="J16" s="92"/>
      <c r="K16" s="48" t="s">
        <v>13</v>
      </c>
      <c r="L16" s="16"/>
      <c r="M16" s="63" t="s">
        <v>34</v>
      </c>
      <c r="N16" s="64"/>
    </row>
    <row r="17" spans="2:14" ht="18" customHeight="1">
      <c r="B17" s="6"/>
      <c r="C17" s="61"/>
      <c r="D17" s="62"/>
      <c r="E17" s="61"/>
      <c r="F17" s="62"/>
      <c r="G17" s="61"/>
      <c r="H17" s="62"/>
      <c r="I17" s="77"/>
      <c r="J17" s="78"/>
      <c r="K17" s="49"/>
      <c r="L17" s="17">
        <v>12</v>
      </c>
      <c r="M17" s="57" t="s">
        <v>37</v>
      </c>
      <c r="N17" s="58"/>
    </row>
    <row r="18" spans="2:14" ht="18" customHeight="1">
      <c r="B18" s="9"/>
      <c r="C18" s="79"/>
      <c r="D18" s="80"/>
      <c r="E18" s="79"/>
      <c r="F18" s="80"/>
      <c r="G18" s="79"/>
      <c r="H18" s="80"/>
      <c r="I18" s="79"/>
      <c r="J18" s="81"/>
      <c r="K18" s="49"/>
      <c r="L18" s="17">
        <v>19</v>
      </c>
      <c r="M18" s="57" t="s">
        <v>35</v>
      </c>
      <c r="N18" s="58"/>
    </row>
    <row r="19" spans="2:14" ht="18" customHeight="1">
      <c r="B19" s="6"/>
      <c r="C19" s="61"/>
      <c r="D19" s="62"/>
      <c r="E19" s="61"/>
      <c r="F19" s="62"/>
      <c r="G19" s="61"/>
      <c r="H19" s="62"/>
      <c r="I19" s="77"/>
      <c r="J19" s="78"/>
      <c r="K19" s="11"/>
      <c r="L19" s="17">
        <v>26</v>
      </c>
      <c r="M19" s="42"/>
      <c r="N19" s="43"/>
    </row>
    <row r="20" spans="2:14" ht="18" customHeight="1">
      <c r="B20" s="8"/>
      <c r="C20" s="59"/>
      <c r="D20" s="60"/>
      <c r="E20" s="59"/>
      <c r="F20" s="60"/>
      <c r="G20" s="59"/>
      <c r="H20" s="60"/>
      <c r="I20" s="59"/>
      <c r="J20" s="73"/>
      <c r="K20" s="11"/>
      <c r="L20" s="17"/>
      <c r="M20" s="42"/>
      <c r="N20" s="43"/>
    </row>
    <row r="21" spans="2:14" ht="18" customHeight="1">
      <c r="B21" s="6"/>
      <c r="C21" s="61"/>
      <c r="D21" s="62"/>
      <c r="E21" s="61"/>
      <c r="F21" s="62"/>
      <c r="G21" s="61"/>
      <c r="H21" s="62"/>
      <c r="I21" s="89"/>
      <c r="J21" s="90"/>
      <c r="K21" s="13"/>
      <c r="L21" s="19"/>
      <c r="M21" s="46"/>
      <c r="N21" s="47"/>
    </row>
    <row r="22" spans="2:14" ht="18" customHeight="1">
      <c r="B22" s="8"/>
      <c r="C22" s="59"/>
      <c r="D22" s="60"/>
      <c r="E22" s="59"/>
      <c r="F22" s="60"/>
      <c r="G22" s="59"/>
      <c r="H22" s="60"/>
      <c r="I22" s="59"/>
      <c r="J22" s="73"/>
      <c r="K22" s="48" t="s">
        <v>14</v>
      </c>
      <c r="L22" s="16">
        <v>6</v>
      </c>
      <c r="M22" s="63" t="s">
        <v>34</v>
      </c>
      <c r="N22" s="64"/>
    </row>
    <row r="23" spans="2:14" ht="18" customHeight="1">
      <c r="B23" s="6"/>
      <c r="C23" s="61"/>
      <c r="D23" s="62"/>
      <c r="E23" s="61"/>
      <c r="F23" s="62"/>
      <c r="G23" s="61"/>
      <c r="H23" s="62"/>
      <c r="I23" s="77"/>
      <c r="J23" s="78"/>
      <c r="K23" s="49"/>
      <c r="L23" s="17">
        <v>13</v>
      </c>
      <c r="M23" s="57" t="s">
        <v>37</v>
      </c>
      <c r="N23" s="58"/>
    </row>
    <row r="24" spans="2:14" ht="18" customHeight="1">
      <c r="B24" s="8"/>
      <c r="C24" s="59"/>
      <c r="D24" s="60"/>
      <c r="E24" s="59"/>
      <c r="F24" s="60"/>
      <c r="G24" s="59"/>
      <c r="H24" s="60"/>
      <c r="I24" s="59"/>
      <c r="J24" s="73"/>
      <c r="K24" s="49"/>
      <c r="L24" s="17">
        <v>20</v>
      </c>
      <c r="M24" s="57" t="s">
        <v>35</v>
      </c>
      <c r="N24" s="58"/>
    </row>
    <row r="25" spans="2:14" ht="18" customHeight="1">
      <c r="B25" s="6"/>
      <c r="C25" s="61"/>
      <c r="D25" s="62"/>
      <c r="E25" s="61"/>
      <c r="F25" s="62"/>
      <c r="G25" s="61"/>
      <c r="H25" s="62"/>
      <c r="I25" s="77"/>
      <c r="J25" s="78"/>
      <c r="K25" s="49"/>
      <c r="L25" s="17">
        <v>27</v>
      </c>
      <c r="M25" s="42"/>
      <c r="N25" s="43"/>
    </row>
    <row r="26" spans="2:14" ht="18" customHeight="1">
      <c r="B26" s="8"/>
      <c r="C26" s="59"/>
      <c r="D26" s="60"/>
      <c r="E26" s="59"/>
      <c r="F26" s="60"/>
      <c r="G26" s="59"/>
      <c r="H26" s="60"/>
      <c r="I26" s="59"/>
      <c r="J26" s="73"/>
      <c r="K26" s="11"/>
      <c r="L26" s="17"/>
      <c r="M26" s="42"/>
      <c r="N26" s="43"/>
    </row>
    <row r="27" spans="2:14" ht="18" customHeight="1">
      <c r="B27" s="6"/>
      <c r="C27" s="61"/>
      <c r="D27" s="62"/>
      <c r="E27" s="61"/>
      <c r="F27" s="62"/>
      <c r="G27" s="61"/>
      <c r="H27" s="62"/>
      <c r="I27" s="77"/>
      <c r="J27" s="78"/>
      <c r="K27" s="13"/>
      <c r="L27" s="19"/>
      <c r="M27" s="42"/>
      <c r="N27" s="43"/>
    </row>
    <row r="28" spans="2:14" ht="18" customHeight="1">
      <c r="B28" s="8"/>
      <c r="C28" s="59"/>
      <c r="D28" s="60"/>
      <c r="E28" s="59"/>
      <c r="F28" s="60"/>
      <c r="G28" s="59"/>
      <c r="H28" s="60"/>
      <c r="I28" s="59"/>
      <c r="J28" s="73"/>
      <c r="K28" s="52" t="s">
        <v>15</v>
      </c>
      <c r="L28" s="16">
        <v>7</v>
      </c>
      <c r="M28" s="63" t="s">
        <v>34</v>
      </c>
      <c r="N28" s="64"/>
    </row>
    <row r="29" spans="2:14" ht="18" customHeight="1">
      <c r="B29" s="6"/>
      <c r="C29" s="61"/>
      <c r="D29" s="62"/>
      <c r="E29" s="61"/>
      <c r="F29" s="62"/>
      <c r="G29" s="61"/>
      <c r="H29" s="62"/>
      <c r="I29" s="61"/>
      <c r="J29" s="82"/>
      <c r="K29" s="53"/>
      <c r="L29" s="17">
        <v>14</v>
      </c>
      <c r="M29" s="57" t="s">
        <v>37</v>
      </c>
      <c r="N29" s="58"/>
    </row>
    <row r="30" spans="2:14" ht="18" customHeight="1">
      <c r="B30" s="6"/>
      <c r="C30" s="61"/>
      <c r="D30" s="62"/>
      <c r="E30" s="61"/>
      <c r="F30" s="62"/>
      <c r="G30" s="61"/>
      <c r="H30" s="62"/>
      <c r="I30" s="61"/>
      <c r="J30" s="82"/>
      <c r="K30" s="53"/>
      <c r="L30" s="17">
        <v>21</v>
      </c>
      <c r="M30" s="57" t="s">
        <v>35</v>
      </c>
      <c r="N30" s="58"/>
    </row>
    <row r="31" spans="2:14" ht="18" customHeight="1">
      <c r="B31" s="93" t="s">
        <v>26</v>
      </c>
      <c r="C31" s="94"/>
      <c r="D31" s="94"/>
      <c r="E31" s="94"/>
      <c r="F31" s="94"/>
      <c r="G31" s="94"/>
      <c r="H31" s="94"/>
      <c r="I31" s="94"/>
      <c r="J31" s="95"/>
      <c r="K31" s="14"/>
      <c r="L31" s="17">
        <v>28</v>
      </c>
      <c r="M31" s="42"/>
      <c r="N31" s="43"/>
    </row>
    <row r="32" spans="2:14" ht="18" customHeight="1">
      <c r="B32" s="96"/>
      <c r="C32" s="97"/>
      <c r="D32" s="97"/>
      <c r="E32" s="97"/>
      <c r="F32" s="97"/>
      <c r="G32" s="97"/>
      <c r="H32" s="97"/>
      <c r="I32" s="97"/>
      <c r="J32" s="98"/>
      <c r="K32" s="14"/>
      <c r="L32" s="17"/>
      <c r="M32" s="42"/>
      <c r="N32" s="43"/>
    </row>
    <row r="33" spans="2:14" ht="18" customHeight="1">
      <c r="B33" s="96"/>
      <c r="C33" s="97"/>
      <c r="D33" s="97"/>
      <c r="E33" s="97"/>
      <c r="F33" s="97"/>
      <c r="G33" s="97"/>
      <c r="H33" s="97"/>
      <c r="I33" s="97"/>
      <c r="J33" s="98"/>
      <c r="K33" s="54"/>
      <c r="L33" s="16"/>
      <c r="M33" s="50"/>
      <c r="N33" s="51"/>
    </row>
    <row r="34" spans="2:14" ht="16.5" customHeight="1">
      <c r="K34" s="53"/>
      <c r="L34" s="17"/>
      <c r="M34" s="42"/>
      <c r="N34" s="43"/>
    </row>
    <row r="35" spans="2:14" ht="16.5" customHeight="1">
      <c r="K35" s="53"/>
      <c r="L35" s="17"/>
      <c r="M35" s="42"/>
      <c r="N35" s="43"/>
    </row>
    <row r="36" spans="2:14" ht="16.5" customHeight="1">
      <c r="K36" s="11"/>
      <c r="L36" s="17"/>
      <c r="M36" s="42"/>
      <c r="N36" s="43"/>
    </row>
    <row r="37" spans="2:14" ht="16.5" customHeight="1">
      <c r="K37" s="11"/>
      <c r="L37" s="17"/>
      <c r="M37" s="42"/>
      <c r="N37" s="43"/>
    </row>
    <row r="38" spans="2:14" ht="16.5" customHeight="1">
      <c r="K38" s="12"/>
      <c r="L38" s="18"/>
      <c r="M38" s="46"/>
      <c r="N38" s="47"/>
    </row>
    <row r="39" spans="2:14" ht="16.5" customHeight="1">
      <c r="K39" s="52"/>
      <c r="L39" s="16"/>
      <c r="M39" s="50"/>
      <c r="N39" s="51"/>
    </row>
    <row r="40" spans="2:14" ht="16.5" customHeight="1">
      <c r="K40" s="53"/>
      <c r="L40" s="17"/>
      <c r="M40" s="42"/>
      <c r="N40" s="43"/>
    </row>
    <row r="41" spans="2:14" ht="16.5" customHeight="1">
      <c r="K41" s="53"/>
      <c r="L41" s="17"/>
      <c r="M41" s="42"/>
      <c r="N41" s="43"/>
    </row>
    <row r="42" spans="2:14" ht="16.5" customHeight="1">
      <c r="K42" s="11"/>
      <c r="L42" s="17"/>
      <c r="M42" s="42"/>
      <c r="N42" s="43"/>
    </row>
    <row r="43" spans="2:14" ht="16.5" customHeight="1">
      <c r="K43" s="11"/>
      <c r="L43" s="17"/>
      <c r="M43" s="42"/>
      <c r="N43" s="43"/>
    </row>
    <row r="44" spans="2:14" ht="16.5" customHeight="1">
      <c r="K44" s="13"/>
      <c r="L44" s="19"/>
      <c r="M44" s="46"/>
      <c r="N44" s="47"/>
    </row>
    <row r="45" spans="2:14" ht="16.5" customHeight="1">
      <c r="K45" s="48"/>
      <c r="L45" s="16"/>
      <c r="M45" s="50"/>
      <c r="N45" s="51"/>
    </row>
    <row r="46" spans="2:14" ht="16.5" customHeight="1">
      <c r="K46" s="49"/>
      <c r="L46" s="17"/>
      <c r="M46" s="42"/>
      <c r="N46" s="43"/>
    </row>
    <row r="47" spans="2:14" ht="16.5" customHeight="1">
      <c r="K47" s="49"/>
      <c r="L47" s="17"/>
      <c r="M47" s="42"/>
      <c r="N47" s="43"/>
    </row>
    <row r="48" spans="2:14" ht="16.5" customHeight="1">
      <c r="K48" s="11"/>
      <c r="L48" s="17"/>
      <c r="M48" s="42"/>
      <c r="N48" s="43"/>
    </row>
    <row r="49" spans="11:14" ht="16.5" customHeight="1">
      <c r="K49" s="11"/>
      <c r="L49" s="17"/>
      <c r="M49" s="42"/>
      <c r="N49" s="43"/>
    </row>
    <row r="50" spans="11:14" ht="16.5" customHeight="1">
      <c r="K50" s="13"/>
      <c r="L50" s="19"/>
      <c r="M50" s="46"/>
      <c r="N50" s="47"/>
    </row>
    <row r="51" spans="11:14" ht="16.5" customHeight="1">
      <c r="K51" s="48"/>
      <c r="L51" s="16"/>
      <c r="M51" s="50"/>
      <c r="N51" s="51"/>
    </row>
    <row r="52" spans="11:14" ht="16.5" customHeight="1">
      <c r="K52" s="49"/>
      <c r="L52" s="17"/>
      <c r="M52" s="50"/>
      <c r="N52" s="51"/>
    </row>
    <row r="53" spans="11:14" ht="16.5" customHeight="1">
      <c r="K53" s="49"/>
      <c r="L53" s="17"/>
      <c r="M53" s="42"/>
      <c r="N53" s="43"/>
    </row>
    <row r="54" spans="11:14" ht="16.5" customHeight="1">
      <c r="K54" s="49"/>
      <c r="L54" s="17"/>
      <c r="M54" s="42"/>
      <c r="N54" s="43"/>
    </row>
    <row r="55" spans="11:14" ht="16.5" customHeight="1">
      <c r="K55" s="11"/>
      <c r="L55" s="17"/>
      <c r="M55" s="42"/>
      <c r="N55" s="43"/>
    </row>
    <row r="56" spans="11:14" ht="16.5" customHeight="1">
      <c r="K56" s="13"/>
      <c r="L56" s="19"/>
      <c r="M56" s="42"/>
      <c r="N56" s="43"/>
    </row>
    <row r="57" spans="11:14" ht="16.5" customHeight="1">
      <c r="K57" s="52"/>
      <c r="L57" s="16"/>
      <c r="M57" s="50"/>
      <c r="N57" s="51"/>
    </row>
    <row r="58" spans="11:14" ht="16.5" customHeight="1">
      <c r="K58" s="53"/>
      <c r="L58" s="17"/>
      <c r="M58" s="42"/>
      <c r="N58" s="43"/>
    </row>
    <row r="59" spans="11:14" ht="16.5" customHeight="1">
      <c r="K59" s="53"/>
      <c r="L59" s="17"/>
      <c r="M59" s="42"/>
      <c r="N59" s="43"/>
    </row>
    <row r="60" spans="11:14" ht="16.5" customHeight="1">
      <c r="K60" s="14"/>
      <c r="L60" s="17"/>
      <c r="M60" s="42"/>
      <c r="N60" s="43"/>
    </row>
    <row r="61" spans="11:14" ht="16.5" customHeight="1">
      <c r="K61" s="14"/>
      <c r="L61" s="17"/>
      <c r="M61" s="42"/>
      <c r="N61" s="43"/>
    </row>
    <row r="62" spans="11:14" ht="16.5" customHeight="1">
      <c r="K62" s="54"/>
      <c r="L62" s="16"/>
      <c r="M62" s="50"/>
      <c r="N62" s="51"/>
    </row>
    <row r="63" spans="11:14" ht="16.5" customHeight="1">
      <c r="K63" s="53"/>
      <c r="L63" s="17"/>
      <c r="M63" s="42"/>
      <c r="N63" s="43"/>
    </row>
    <row r="64" spans="11:14" ht="16.5" customHeight="1">
      <c r="K64" s="53"/>
      <c r="L64" s="17"/>
      <c r="M64" s="42"/>
      <c r="N64" s="43"/>
    </row>
    <row r="65" spans="11:14" ht="16.5" customHeight="1">
      <c r="K65" s="11"/>
      <c r="L65" s="17"/>
      <c r="M65" s="42"/>
      <c r="N65" s="43"/>
    </row>
    <row r="66" spans="11:14" ht="16.5" customHeight="1">
      <c r="K66" s="11"/>
      <c r="L66" s="17"/>
      <c r="M66" s="42"/>
      <c r="N66" s="43"/>
    </row>
    <row r="67" spans="11:14" ht="16.5" customHeight="1">
      <c r="K67" s="12"/>
      <c r="L67" s="18"/>
      <c r="M67" s="46"/>
      <c r="N67" s="47"/>
    </row>
    <row r="68" spans="11:14" ht="16.5" customHeight="1">
      <c r="K68" s="52"/>
      <c r="L68" s="16"/>
      <c r="M68" s="50"/>
      <c r="N68" s="51"/>
    </row>
    <row r="69" spans="11:14" ht="16.5" customHeight="1">
      <c r="K69" s="53"/>
      <c r="L69" s="17"/>
      <c r="M69" s="42"/>
      <c r="N69" s="43"/>
    </row>
    <row r="70" spans="11:14" ht="16.5" customHeight="1">
      <c r="K70" s="53"/>
      <c r="L70" s="17"/>
      <c r="M70" s="42"/>
      <c r="N70" s="43"/>
    </row>
    <row r="71" spans="11:14" ht="16.5" customHeight="1">
      <c r="K71" s="11"/>
      <c r="L71" s="17"/>
      <c r="M71" s="42"/>
      <c r="N71" s="43"/>
    </row>
    <row r="72" spans="11:14" ht="16.5" customHeight="1">
      <c r="K72" s="11"/>
      <c r="L72" s="17"/>
      <c r="M72" s="42"/>
      <c r="N72" s="43"/>
    </row>
    <row r="73" spans="11:14" ht="16.5" customHeight="1">
      <c r="K73" s="13"/>
      <c r="L73" s="19"/>
      <c r="M73" s="46"/>
      <c r="N73" s="47"/>
    </row>
    <row r="74" spans="11:14" ht="16.5" customHeight="1">
      <c r="K74" s="48"/>
      <c r="L74" s="16"/>
      <c r="M74" s="50"/>
      <c r="N74" s="51"/>
    </row>
    <row r="75" spans="11:14" ht="16.5" customHeight="1">
      <c r="K75" s="49"/>
      <c r="L75" s="17"/>
      <c r="M75" s="42"/>
      <c r="N75" s="43"/>
    </row>
    <row r="76" spans="11:14" ht="16.5" customHeight="1">
      <c r="K76" s="49"/>
      <c r="L76" s="17"/>
      <c r="M76" s="42"/>
      <c r="N76" s="43"/>
    </row>
    <row r="77" spans="11:14" ht="16.5" customHeight="1">
      <c r="K77" s="11"/>
      <c r="L77" s="17"/>
      <c r="M77" s="42"/>
      <c r="N77" s="43"/>
    </row>
    <row r="78" spans="11:14" ht="16.5" customHeight="1">
      <c r="K78" s="11"/>
      <c r="L78" s="17"/>
      <c r="M78" s="42"/>
      <c r="N78" s="43"/>
    </row>
    <row r="79" spans="11:14" ht="16.5" customHeight="1">
      <c r="K79" s="13"/>
      <c r="L79" s="19"/>
      <c r="M79" s="46"/>
      <c r="N79" s="47"/>
    </row>
    <row r="80" spans="11:14" ht="16.5" customHeight="1">
      <c r="K80" s="48"/>
      <c r="L80" s="16"/>
      <c r="M80" s="50"/>
      <c r="N80" s="51"/>
    </row>
    <row r="81" spans="11:14" ht="16.5" customHeight="1">
      <c r="K81" s="49"/>
      <c r="L81" s="17"/>
      <c r="M81" s="42"/>
      <c r="N81" s="43"/>
    </row>
    <row r="82" spans="11:14" ht="16.5" customHeight="1">
      <c r="K82" s="49"/>
      <c r="L82" s="17"/>
      <c r="M82" s="42"/>
      <c r="N82" s="43"/>
    </row>
    <row r="83" spans="11:14" ht="16.5" customHeight="1">
      <c r="K83" s="49"/>
      <c r="L83" s="17"/>
      <c r="M83" s="42"/>
      <c r="N83" s="43"/>
    </row>
    <row r="84" spans="11:14" ht="16.5" customHeight="1">
      <c r="K84" s="11"/>
      <c r="L84" s="17"/>
      <c r="M84" s="42"/>
      <c r="N84" s="43"/>
    </row>
    <row r="85" spans="11:14" ht="16.5" customHeight="1">
      <c r="K85" s="13"/>
      <c r="L85" s="19"/>
      <c r="M85" s="46"/>
      <c r="N85" s="47"/>
    </row>
    <row r="86" spans="11:14" ht="16.5" customHeight="1">
      <c r="K86" s="52"/>
      <c r="L86" s="16"/>
      <c r="M86" s="50"/>
      <c r="N86" s="51"/>
    </row>
    <row r="87" spans="11:14" ht="16.5" customHeight="1">
      <c r="K87" s="53"/>
      <c r="L87" s="17"/>
      <c r="M87" s="42"/>
      <c r="N87" s="43"/>
    </row>
    <row r="88" spans="11:14" ht="16.5" customHeight="1">
      <c r="K88" s="53"/>
      <c r="L88" s="17"/>
      <c r="M88" s="42"/>
      <c r="N88" s="43"/>
    </row>
    <row r="89" spans="11:14" ht="16.5" customHeight="1">
      <c r="K89" s="14"/>
      <c r="L89" s="17"/>
      <c r="M89" s="42"/>
      <c r="N89" s="43"/>
    </row>
    <row r="90" spans="11:14" ht="16.5" customHeight="1">
      <c r="K90" s="14"/>
      <c r="L90" s="17"/>
      <c r="M90" s="42"/>
      <c r="N90" s="43"/>
    </row>
    <row r="91" spans="11:14" ht="16.5" customHeight="1">
      <c r="K91" s="54"/>
      <c r="L91" s="16"/>
      <c r="M91" s="50"/>
      <c r="N91" s="51"/>
    </row>
    <row r="92" spans="11:14" ht="16.5" customHeight="1">
      <c r="K92" s="53"/>
      <c r="L92" s="17"/>
      <c r="M92" s="42"/>
      <c r="N92" s="43"/>
    </row>
    <row r="93" spans="11:14" ht="16.5" customHeight="1">
      <c r="K93" s="53"/>
      <c r="L93" s="17"/>
      <c r="M93" s="42"/>
      <c r="N93" s="43"/>
    </row>
    <row r="94" spans="11:14" ht="16.5" customHeight="1">
      <c r="K94" s="11"/>
      <c r="L94" s="17"/>
      <c r="M94" s="42"/>
      <c r="N94" s="43"/>
    </row>
    <row r="95" spans="11:14" ht="16.5" customHeight="1">
      <c r="K95" s="11"/>
      <c r="L95" s="17"/>
      <c r="M95" s="42"/>
      <c r="N95" s="43"/>
    </row>
    <row r="96" spans="11:14" ht="16.5" customHeight="1">
      <c r="K96" s="12"/>
      <c r="L96" s="18"/>
      <c r="M96" s="46"/>
      <c r="N96" s="47"/>
    </row>
    <row r="97" spans="11:14" ht="16.5" customHeight="1">
      <c r="K97" s="52"/>
      <c r="L97" s="16"/>
      <c r="M97" s="50"/>
      <c r="N97" s="51"/>
    </row>
    <row r="98" spans="11:14" ht="16.5" customHeight="1">
      <c r="K98" s="53"/>
      <c r="L98" s="17"/>
      <c r="M98" s="42"/>
      <c r="N98" s="43"/>
    </row>
    <row r="99" spans="11:14" ht="16.5" customHeight="1">
      <c r="K99" s="53"/>
      <c r="L99" s="17"/>
      <c r="M99" s="42"/>
      <c r="N99" s="43"/>
    </row>
    <row r="100" spans="11:14" ht="16.5" customHeight="1">
      <c r="K100" s="11"/>
      <c r="L100" s="17"/>
      <c r="M100" s="42"/>
      <c r="N100" s="43"/>
    </row>
    <row r="101" spans="11:14" ht="16.5" customHeight="1">
      <c r="K101" s="11"/>
      <c r="L101" s="17"/>
      <c r="M101" s="42"/>
      <c r="N101" s="43"/>
    </row>
    <row r="102" spans="11:14" ht="16.5" customHeight="1">
      <c r="K102" s="13"/>
      <c r="L102" s="19"/>
      <c r="M102" s="46"/>
      <c r="N102" s="47"/>
    </row>
    <row r="103" spans="11:14" ht="16.5" customHeight="1">
      <c r="K103" s="48"/>
      <c r="L103" s="16"/>
      <c r="M103" s="50"/>
      <c r="N103" s="51"/>
    </row>
    <row r="104" spans="11:14" ht="16.5" customHeight="1">
      <c r="K104" s="49"/>
      <c r="L104" s="17"/>
      <c r="M104" s="42"/>
      <c r="N104" s="43"/>
    </row>
    <row r="105" spans="11:14" ht="16.5" customHeight="1">
      <c r="K105" s="49"/>
      <c r="L105" s="17"/>
      <c r="M105" s="42"/>
      <c r="N105" s="43"/>
    </row>
    <row r="106" spans="11:14" ht="16.5" customHeight="1">
      <c r="K106" s="11"/>
      <c r="L106" s="17"/>
      <c r="M106" s="42"/>
      <c r="N106" s="43"/>
    </row>
    <row r="107" spans="11:14" ht="16.5" customHeight="1">
      <c r="K107" s="11"/>
      <c r="L107" s="17"/>
      <c r="M107" s="42"/>
      <c r="N107" s="43"/>
    </row>
    <row r="108" spans="11:14" ht="16.5" customHeight="1">
      <c r="K108" s="13"/>
      <c r="L108" s="19"/>
      <c r="M108" s="46"/>
      <c r="N108" s="47"/>
    </row>
    <row r="109" spans="11:14" ht="16.5" customHeight="1">
      <c r="K109" s="48"/>
      <c r="L109" s="16"/>
      <c r="M109" s="50"/>
      <c r="N109" s="51"/>
    </row>
    <row r="110" spans="11:14" ht="16.5" customHeight="1">
      <c r="K110" s="49"/>
      <c r="L110" s="17"/>
      <c r="M110" s="42"/>
      <c r="N110" s="43"/>
    </row>
    <row r="111" spans="11:14" ht="16.5" customHeight="1">
      <c r="K111" s="49"/>
      <c r="L111" s="17"/>
      <c r="M111" s="42"/>
      <c r="N111" s="43"/>
    </row>
    <row r="112" spans="11:14" ht="16.5" customHeight="1">
      <c r="K112" s="49"/>
      <c r="L112" s="17"/>
      <c r="M112" s="42"/>
      <c r="N112" s="43"/>
    </row>
    <row r="113" spans="11:14" ht="16.5" customHeight="1">
      <c r="K113" s="11"/>
      <c r="L113" s="17"/>
      <c r="M113" s="42"/>
      <c r="N113" s="43"/>
    </row>
    <row r="114" spans="11:14" ht="16.5" customHeight="1">
      <c r="K114" s="13"/>
      <c r="L114" s="19"/>
      <c r="M114" s="46"/>
      <c r="N114" s="47"/>
    </row>
    <row r="115" spans="11:14" ht="16.5" customHeight="1">
      <c r="K115" s="52"/>
      <c r="L115" s="16"/>
      <c r="M115" s="50"/>
      <c r="N115" s="51"/>
    </row>
    <row r="116" spans="11:14" ht="16.5" customHeight="1">
      <c r="K116" s="53"/>
      <c r="L116" s="17"/>
      <c r="M116" s="42"/>
      <c r="N116" s="43"/>
    </row>
    <row r="117" spans="11:14" ht="16.5" customHeight="1">
      <c r="K117" s="53"/>
      <c r="L117" s="17"/>
      <c r="M117" s="42"/>
      <c r="N117" s="43"/>
    </row>
    <row r="118" spans="11:14" ht="16.5" customHeight="1">
      <c r="K118" s="14"/>
      <c r="L118" s="17"/>
      <c r="M118" s="42"/>
      <c r="N118" s="43"/>
    </row>
    <row r="119" spans="11:14" ht="16.5" customHeight="1">
      <c r="K119" s="14"/>
      <c r="L119" s="17"/>
      <c r="M119" s="42"/>
      <c r="N119" s="43"/>
    </row>
    <row r="120" spans="11:14" ht="16.5" customHeight="1">
      <c r="K120" s="14"/>
      <c r="L120" s="17"/>
      <c r="M120" s="42"/>
      <c r="N120" s="43"/>
    </row>
    <row r="121" spans="11:14" ht="16.5" customHeight="1">
      <c r="K121" s="54"/>
      <c r="L121" s="16"/>
      <c r="M121" s="50"/>
      <c r="N121" s="51"/>
    </row>
    <row r="122" spans="11:14" ht="16.5" customHeight="1">
      <c r="K122" s="53"/>
      <c r="L122" s="17"/>
      <c r="M122" s="42"/>
      <c r="N122" s="43"/>
    </row>
    <row r="123" spans="11:14" ht="16.5" customHeight="1">
      <c r="K123" s="53"/>
      <c r="L123" s="17"/>
      <c r="M123" s="42"/>
      <c r="N123" s="43"/>
    </row>
    <row r="124" spans="11:14" ht="16.5" customHeight="1">
      <c r="K124" s="11"/>
      <c r="L124" s="17"/>
      <c r="M124" s="42"/>
      <c r="N124" s="43"/>
    </row>
    <row r="125" spans="11:14" ht="16.5" customHeight="1">
      <c r="K125" s="11"/>
      <c r="L125" s="17"/>
      <c r="M125" s="42"/>
      <c r="N125" s="43"/>
    </row>
    <row r="126" spans="11:14" ht="16.5" customHeight="1">
      <c r="K126" s="12"/>
      <c r="L126" s="18"/>
      <c r="M126" s="46"/>
      <c r="N126" s="47"/>
    </row>
    <row r="127" spans="11:14" ht="16.5" customHeight="1">
      <c r="K127" s="52"/>
      <c r="L127" s="16"/>
      <c r="M127" s="50"/>
      <c r="N127" s="51"/>
    </row>
    <row r="128" spans="11:14" ht="16.5" customHeight="1">
      <c r="K128" s="53"/>
      <c r="L128" s="17"/>
      <c r="M128" s="42"/>
      <c r="N128" s="43"/>
    </row>
    <row r="129" spans="11:14" ht="16.5" customHeight="1">
      <c r="K129" s="53"/>
      <c r="L129" s="17"/>
      <c r="M129" s="42"/>
      <c r="N129" s="43"/>
    </row>
    <row r="130" spans="11:14" ht="16.5" customHeight="1">
      <c r="K130" s="11"/>
      <c r="L130" s="17"/>
      <c r="M130" s="42"/>
      <c r="N130" s="43"/>
    </row>
    <row r="131" spans="11:14" ht="16.5" customHeight="1">
      <c r="K131" s="11"/>
      <c r="L131" s="17"/>
      <c r="M131" s="42"/>
      <c r="N131" s="43"/>
    </row>
    <row r="132" spans="11:14" ht="16.5" customHeight="1">
      <c r="K132" s="13"/>
      <c r="L132" s="19"/>
      <c r="M132" s="46"/>
      <c r="N132" s="47"/>
    </row>
    <row r="133" spans="11:14" ht="16.5" customHeight="1">
      <c r="K133" s="48"/>
      <c r="L133" s="16"/>
      <c r="M133" s="50"/>
      <c r="N133" s="51"/>
    </row>
    <row r="134" spans="11:14" ht="16.5" customHeight="1">
      <c r="K134" s="49"/>
      <c r="L134" s="17"/>
      <c r="M134" s="42"/>
      <c r="N134" s="43"/>
    </row>
    <row r="135" spans="11:14" ht="16.5" customHeight="1">
      <c r="K135" s="49"/>
      <c r="L135" s="17"/>
      <c r="M135" s="42"/>
      <c r="N135" s="43"/>
    </row>
    <row r="136" spans="11:14" ht="16.5" customHeight="1">
      <c r="K136" s="11"/>
      <c r="L136" s="17"/>
      <c r="M136" s="42"/>
      <c r="N136" s="43"/>
    </row>
    <row r="137" spans="11:14" ht="16.5" customHeight="1">
      <c r="K137" s="11"/>
      <c r="L137" s="17"/>
      <c r="M137" s="42"/>
      <c r="N137" s="43"/>
    </row>
    <row r="138" spans="11:14" ht="16.5" customHeight="1">
      <c r="K138" s="13"/>
      <c r="L138" s="19"/>
      <c r="M138" s="46"/>
      <c r="N138" s="47"/>
    </row>
    <row r="139" spans="11:14" ht="16.5" customHeight="1">
      <c r="K139" s="48"/>
      <c r="L139" s="16"/>
      <c r="M139" s="50"/>
      <c r="N139" s="51"/>
    </row>
    <row r="140" spans="11:14" ht="16.5" customHeight="1">
      <c r="K140" s="49"/>
      <c r="L140" s="17"/>
      <c r="M140" s="42"/>
      <c r="N140" s="43"/>
    </row>
    <row r="141" spans="11:14" ht="16.5" customHeight="1">
      <c r="K141" s="49"/>
      <c r="L141" s="17"/>
      <c r="M141" s="42"/>
      <c r="N141" s="43"/>
    </row>
    <row r="142" spans="11:14" ht="16.5" customHeight="1">
      <c r="K142" s="49"/>
      <c r="L142" s="17"/>
      <c r="M142" s="42"/>
      <c r="N142" s="43"/>
    </row>
    <row r="143" spans="11:14" ht="16.5" customHeight="1">
      <c r="K143" s="11"/>
      <c r="L143" s="17"/>
      <c r="M143" s="42"/>
      <c r="N143" s="43"/>
    </row>
    <row r="144" spans="11:14" ht="16.5" customHeight="1">
      <c r="K144" s="13"/>
      <c r="L144" s="19"/>
      <c r="M144" s="46"/>
      <c r="N144" s="47"/>
    </row>
    <row r="145" spans="11:14" ht="16.5" customHeight="1">
      <c r="K145" s="52"/>
      <c r="L145" s="16"/>
      <c r="M145" s="50"/>
      <c r="N145" s="51"/>
    </row>
    <row r="146" spans="11:14" ht="16.5" customHeight="1">
      <c r="K146" s="53"/>
      <c r="L146" s="17"/>
      <c r="M146" s="42"/>
      <c r="N146" s="43"/>
    </row>
    <row r="147" spans="11:14" ht="16.5" customHeight="1">
      <c r="K147" s="53"/>
      <c r="L147" s="17"/>
      <c r="M147" s="42"/>
      <c r="N147" s="43"/>
    </row>
    <row r="148" spans="11:14" ht="16.5" customHeight="1">
      <c r="K148" s="14"/>
      <c r="L148" s="17"/>
      <c r="M148" s="42"/>
      <c r="N148" s="43"/>
    </row>
    <row r="149" spans="11:14" ht="16.5" customHeight="1">
      <c r="K149" s="14"/>
      <c r="L149" s="17"/>
      <c r="M149" s="42"/>
      <c r="N149" s="43"/>
    </row>
  </sheetData>
  <mergeCells count="247">
    <mergeCell ref="K33:K35"/>
    <mergeCell ref="M34:N34"/>
    <mergeCell ref="M35:N35"/>
    <mergeCell ref="C30:D30"/>
    <mergeCell ref="E30:F30"/>
    <mergeCell ref="G30:H30"/>
    <mergeCell ref="I30:J30"/>
    <mergeCell ref="B31:J33"/>
    <mergeCell ref="M28:N28"/>
    <mergeCell ref="C29:D29"/>
    <mergeCell ref="E29:F29"/>
    <mergeCell ref="G29:H29"/>
    <mergeCell ref="I29:J29"/>
    <mergeCell ref="M33:N33"/>
    <mergeCell ref="M31:N31"/>
    <mergeCell ref="M32:N32"/>
    <mergeCell ref="M29:N29"/>
    <mergeCell ref="M30:N30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C26:D26"/>
    <mergeCell ref="E26:F26"/>
    <mergeCell ref="G26:H26"/>
    <mergeCell ref="I26:J26"/>
    <mergeCell ref="M26:N26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0:D20"/>
    <mergeCell ref="E20:F20"/>
    <mergeCell ref="G20:H20"/>
    <mergeCell ref="I20:J20"/>
    <mergeCell ref="M20:N20"/>
    <mergeCell ref="M22:N22"/>
    <mergeCell ref="C22:D22"/>
    <mergeCell ref="E22:F22"/>
    <mergeCell ref="G22:H22"/>
    <mergeCell ref="I22:J22"/>
    <mergeCell ref="C19:D19"/>
    <mergeCell ref="E19:F19"/>
    <mergeCell ref="G19:H19"/>
    <mergeCell ref="I19:J19"/>
    <mergeCell ref="M19:N19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I17:J17"/>
    <mergeCell ref="C15:D15"/>
    <mergeCell ref="E15:F15"/>
    <mergeCell ref="G15:H15"/>
    <mergeCell ref="I15:J15"/>
    <mergeCell ref="M15:N15"/>
    <mergeCell ref="M17:N17"/>
    <mergeCell ref="M16:N16"/>
    <mergeCell ref="C17:D17"/>
    <mergeCell ref="E17:F17"/>
    <mergeCell ref="G17:H17"/>
    <mergeCell ref="C14:D14"/>
    <mergeCell ref="E14:F14"/>
    <mergeCell ref="G14:H14"/>
    <mergeCell ref="I14:J14"/>
    <mergeCell ref="M14:N14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M42:N42"/>
    <mergeCell ref="M43:N43"/>
    <mergeCell ref="M10:N10"/>
    <mergeCell ref="B11:J12"/>
    <mergeCell ref="M11:N11"/>
    <mergeCell ref="M12:N12"/>
    <mergeCell ref="C13:D13"/>
    <mergeCell ref="E13:F13"/>
    <mergeCell ref="G13:H13"/>
    <mergeCell ref="I13:J13"/>
    <mergeCell ref="M36:N36"/>
    <mergeCell ref="M37:N37"/>
    <mergeCell ref="M38:N38"/>
    <mergeCell ref="K39:K41"/>
    <mergeCell ref="M39:N39"/>
    <mergeCell ref="M40:N40"/>
    <mergeCell ref="M41:N41"/>
    <mergeCell ref="M49:N49"/>
    <mergeCell ref="M50:N50"/>
    <mergeCell ref="K51:K54"/>
    <mergeCell ref="M51:N51"/>
    <mergeCell ref="M52:N52"/>
    <mergeCell ref="M53:N53"/>
    <mergeCell ref="M54:N54"/>
    <mergeCell ref="K62:K64"/>
    <mergeCell ref="M62:N62"/>
    <mergeCell ref="M63:N63"/>
    <mergeCell ref="M64:N64"/>
    <mergeCell ref="M44:N44"/>
    <mergeCell ref="K45:K47"/>
    <mergeCell ref="M45:N45"/>
    <mergeCell ref="M46:N46"/>
    <mergeCell ref="M47:N47"/>
    <mergeCell ref="M48:N48"/>
    <mergeCell ref="M71:N71"/>
    <mergeCell ref="M72:N72"/>
    <mergeCell ref="M55:N55"/>
    <mergeCell ref="M56:N56"/>
    <mergeCell ref="K57:K59"/>
    <mergeCell ref="M57:N57"/>
    <mergeCell ref="M58:N58"/>
    <mergeCell ref="M59:N59"/>
    <mergeCell ref="M60:N60"/>
    <mergeCell ref="M61:N61"/>
    <mergeCell ref="M65:N65"/>
    <mergeCell ref="M66:N66"/>
    <mergeCell ref="M67:N67"/>
    <mergeCell ref="K68:K70"/>
    <mergeCell ref="M68:N68"/>
    <mergeCell ref="M69:N69"/>
    <mergeCell ref="M70:N70"/>
    <mergeCell ref="M78:N78"/>
    <mergeCell ref="M79:N79"/>
    <mergeCell ref="K80:K83"/>
    <mergeCell ref="M80:N80"/>
    <mergeCell ref="M81:N81"/>
    <mergeCell ref="M82:N82"/>
    <mergeCell ref="M83:N83"/>
    <mergeCell ref="K91:K93"/>
    <mergeCell ref="M91:N91"/>
    <mergeCell ref="M92:N92"/>
    <mergeCell ref="M93:N93"/>
    <mergeCell ref="M73:N73"/>
    <mergeCell ref="K74:K76"/>
    <mergeCell ref="M74:N74"/>
    <mergeCell ref="M75:N75"/>
    <mergeCell ref="M76:N76"/>
    <mergeCell ref="M77:N77"/>
    <mergeCell ref="M100:N100"/>
    <mergeCell ref="M101:N101"/>
    <mergeCell ref="M84:N84"/>
    <mergeCell ref="M85:N85"/>
    <mergeCell ref="K86:K88"/>
    <mergeCell ref="M86:N86"/>
    <mergeCell ref="M87:N87"/>
    <mergeCell ref="M88:N88"/>
    <mergeCell ref="M89:N89"/>
    <mergeCell ref="M90:N90"/>
    <mergeCell ref="M94:N94"/>
    <mergeCell ref="M95:N95"/>
    <mergeCell ref="M96:N96"/>
    <mergeCell ref="K97:K99"/>
    <mergeCell ref="M97:N97"/>
    <mergeCell ref="M98:N98"/>
    <mergeCell ref="M99:N99"/>
    <mergeCell ref="M108:N108"/>
    <mergeCell ref="K109:K112"/>
    <mergeCell ref="M109:N109"/>
    <mergeCell ref="M110:N110"/>
    <mergeCell ref="M111:N111"/>
    <mergeCell ref="M112:N112"/>
    <mergeCell ref="M118:N118"/>
    <mergeCell ref="M119:N119"/>
    <mergeCell ref="M120:N120"/>
    <mergeCell ref="M102:N102"/>
    <mergeCell ref="K103:K105"/>
    <mergeCell ref="M103:N103"/>
    <mergeCell ref="M104:N104"/>
    <mergeCell ref="M105:N105"/>
    <mergeCell ref="M106:N106"/>
    <mergeCell ref="M107:N107"/>
    <mergeCell ref="K127:K129"/>
    <mergeCell ref="M127:N127"/>
    <mergeCell ref="M128:N128"/>
    <mergeCell ref="M129:N129"/>
    <mergeCell ref="M113:N113"/>
    <mergeCell ref="M114:N114"/>
    <mergeCell ref="K115:K117"/>
    <mergeCell ref="M115:N115"/>
    <mergeCell ref="M116:N116"/>
    <mergeCell ref="M117:N117"/>
    <mergeCell ref="M135:N135"/>
    <mergeCell ref="M136:N136"/>
    <mergeCell ref="M137:N137"/>
    <mergeCell ref="K121:K123"/>
    <mergeCell ref="M121:N121"/>
    <mergeCell ref="M122:N122"/>
    <mergeCell ref="M123:N123"/>
    <mergeCell ref="M124:N124"/>
    <mergeCell ref="M125:N125"/>
    <mergeCell ref="M126:N126"/>
    <mergeCell ref="K145:K147"/>
    <mergeCell ref="M145:N145"/>
    <mergeCell ref="M146:N146"/>
    <mergeCell ref="M147:N147"/>
    <mergeCell ref="M130:N130"/>
    <mergeCell ref="M131:N131"/>
    <mergeCell ref="M132:N132"/>
    <mergeCell ref="K133:K135"/>
    <mergeCell ref="M133:N133"/>
    <mergeCell ref="M134:N134"/>
    <mergeCell ref="M148:N148"/>
    <mergeCell ref="M149:N149"/>
    <mergeCell ref="M138:N138"/>
    <mergeCell ref="K139:K142"/>
    <mergeCell ref="M139:N139"/>
    <mergeCell ref="M140:N140"/>
    <mergeCell ref="M141:N141"/>
    <mergeCell ref="M142:N142"/>
    <mergeCell ref="M143:N143"/>
    <mergeCell ref="M144:N144"/>
  </mergeCells>
  <conditionalFormatting sqref="C4:H4">
    <cfRule type="expression" dxfId="46" priority="7" stopIfTrue="1">
      <formula>DAY(C4)&gt;8</formula>
    </cfRule>
  </conditionalFormatting>
  <conditionalFormatting sqref="C8:I10">
    <cfRule type="expression" dxfId="45" priority="6" stopIfTrue="1">
      <formula>AND(DAY(C8)&gt;=1,DAY(C8)&lt;=15)</formula>
    </cfRule>
  </conditionalFormatting>
  <conditionalFormatting sqref="C4:I9">
    <cfRule type="expression" dxfId="44" priority="8">
      <formula>VLOOKUP(DAY(C4),DíasDeTareas,1,FALSE)=DAY(C4)</formula>
    </cfRule>
  </conditionalFormatting>
  <conditionalFormatting sqref="B14:J29">
    <cfRule type="expression" dxfId="43" priority="5">
      <formula>B14&lt;&gt;""</formula>
    </cfRule>
  </conditionalFormatting>
  <conditionalFormatting sqref="B30:J30">
    <cfRule type="expression" dxfId="42" priority="3">
      <formula>B30&lt;&gt;""</formula>
    </cfRule>
  </conditionalFormatting>
  <conditionalFormatting sqref="B31">
    <cfRule type="expression" dxfId="41" priority="2">
      <formula>B31&lt;&gt;""</formula>
    </cfRule>
  </conditionalFormatting>
  <conditionalFormatting sqref="B31">
    <cfRule type="expression" dxfId="40" priority="1">
      <formula>B31&lt;&gt;""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O137"/>
  <sheetViews>
    <sheetView showGridLines="0" zoomScaleNormal="100" zoomScalePageLayoutView="84" workbookViewId="0">
      <selection activeCell="M8" sqref="M8:N8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5.28515625" style="1" customWidth="1"/>
    <col min="15" max="15" width="0.28515625" customWidth="1"/>
    <col min="16" max="22" width="8.85546875" customWidth="1"/>
    <col min="42" max="16384" width="8.7109375" style="1"/>
  </cols>
  <sheetData>
    <row r="1" spans="1:15" ht="11.25" customHeight="1"/>
    <row r="2" spans="1:15" ht="18" customHeight="1">
      <c r="A2" s="4"/>
      <c r="B2" s="83" t="s">
        <v>21</v>
      </c>
      <c r="C2" s="21"/>
      <c r="D2" s="21"/>
      <c r="E2" s="21"/>
      <c r="F2" s="21"/>
      <c r="G2" s="21"/>
      <c r="H2" s="21"/>
      <c r="I2" s="21"/>
      <c r="J2" s="22"/>
      <c r="K2" s="67" t="s">
        <v>2</v>
      </c>
      <c r="L2" s="68">
        <v>2013</v>
      </c>
      <c r="M2" s="68"/>
      <c r="N2" s="25"/>
    </row>
    <row r="3" spans="1:15" ht="21" customHeight="1">
      <c r="A3" s="4"/>
      <c r="B3" s="84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69"/>
      <c r="L3" s="70"/>
      <c r="M3" s="70"/>
      <c r="N3" s="26"/>
    </row>
    <row r="4" spans="1:15" ht="18" customHeight="1">
      <c r="A4" s="4"/>
      <c r="B4" s="84"/>
      <c r="C4" s="10">
        <f>IF(DAY(JunDom1)=1,JunDom1-6,JunDom1+1)</f>
        <v>44347</v>
      </c>
      <c r="D4" s="10">
        <f>IF(DAY(JunDom1)=1,JunDom1-5,JunDom1+2)</f>
        <v>44348</v>
      </c>
      <c r="E4" s="10">
        <f>IF(DAY(JunDom1)=1,JunDom1-4,JunDom1+3)</f>
        <v>44349</v>
      </c>
      <c r="F4" s="10">
        <f>IF(DAY(JunDom1)=1,JunDom1-3,JunDom1+4)</f>
        <v>44350</v>
      </c>
      <c r="G4" s="10">
        <f>IF(DAY(JunDom1)=1,JunDom1-2,JunDom1+5)</f>
        <v>44351</v>
      </c>
      <c r="H4" s="10">
        <f>IF(DAY(JunDom1)=1,JunDom1-1,JunDom1+6)</f>
        <v>44352</v>
      </c>
      <c r="I4" s="10">
        <f>IF(DAY(JunDom1)=1,JunDom1,JunDom1+7)</f>
        <v>44353</v>
      </c>
      <c r="J4" s="5"/>
      <c r="K4" s="54" t="s">
        <v>11</v>
      </c>
      <c r="L4" s="16"/>
      <c r="M4" s="63"/>
      <c r="N4" s="56"/>
    </row>
    <row r="5" spans="1:15" ht="18" customHeight="1">
      <c r="A5" s="4"/>
      <c r="B5" s="84"/>
      <c r="C5" s="10">
        <f>IF(DAY(JunDom1)=1,JunDom1+1,JunDom1+8)</f>
        <v>44354</v>
      </c>
      <c r="D5" s="10">
        <f>IF(DAY(JunDom1)=1,JunDom1+2,JunDom1+9)</f>
        <v>44355</v>
      </c>
      <c r="E5" s="10">
        <f>IF(DAY(JunDom1)=1,JunDom1+3,JunDom1+10)</f>
        <v>44356</v>
      </c>
      <c r="F5" s="10">
        <f>IF(DAY(JunDom1)=1,JunDom1+4,JunDom1+11)</f>
        <v>44357</v>
      </c>
      <c r="G5" s="10">
        <f>IF(DAY(JunDom1)=1,JunDom1+5,JunDom1+12)</f>
        <v>44358</v>
      </c>
      <c r="H5" s="10">
        <f>IF(DAY(JunDom1)=1,JunDom1+6,JunDom1+13)</f>
        <v>44359</v>
      </c>
      <c r="I5" s="10">
        <f>IF(DAY(JunDom1)=1,JunDom1+7,JunDom1+14)</f>
        <v>44360</v>
      </c>
      <c r="J5" s="5"/>
      <c r="K5" s="53"/>
      <c r="L5" s="17"/>
      <c r="M5" s="57"/>
      <c r="N5" s="58"/>
    </row>
    <row r="6" spans="1:15" ht="18" customHeight="1">
      <c r="A6" s="4"/>
      <c r="B6" s="84"/>
      <c r="C6" s="10">
        <f>IF(DAY(JunDom1)=1,JunDom1+8,JunDom1+15)</f>
        <v>44361</v>
      </c>
      <c r="D6" s="10">
        <f>IF(DAY(JunDom1)=1,JunDom1+9,JunDom1+16)</f>
        <v>44362</v>
      </c>
      <c r="E6" s="10">
        <f>IF(DAY(JunDom1)=1,JunDom1+10,JunDom1+17)</f>
        <v>44363</v>
      </c>
      <c r="F6" s="10">
        <f>IF(DAY(JunDom1)=1,JunDom1+11,JunDom1+18)</f>
        <v>44364</v>
      </c>
      <c r="G6" s="10">
        <f>IF(DAY(JunDom1)=1,JunDom1+12,JunDom1+19)</f>
        <v>44365</v>
      </c>
      <c r="H6" s="10">
        <f>IF(DAY(JunDom1)=1,JunDom1+13,JunDom1+20)</f>
        <v>44366</v>
      </c>
      <c r="I6" s="10">
        <f>IF(DAY(JunDom1)=1,JunDom1+14,JunDom1+21)</f>
        <v>44367</v>
      </c>
      <c r="J6" s="5"/>
      <c r="K6" s="53"/>
      <c r="L6" s="17"/>
      <c r="M6" s="57"/>
      <c r="N6" s="58"/>
    </row>
    <row r="7" spans="1:15" ht="18" customHeight="1">
      <c r="A7" s="4"/>
      <c r="B7" s="84"/>
      <c r="C7" s="10">
        <f>IF(DAY(JunDom1)=1,JunDom1+15,JunDom1+22)</f>
        <v>44368</v>
      </c>
      <c r="D7" s="10">
        <f>IF(DAY(JunDom1)=1,JunDom1+16,JunDom1+23)</f>
        <v>44369</v>
      </c>
      <c r="E7" s="10">
        <f>IF(DAY(JunDom1)=1,JunDom1+17,JunDom1+24)</f>
        <v>44370</v>
      </c>
      <c r="F7" s="10">
        <f>IF(DAY(JunDom1)=1,JunDom1+18,JunDom1+25)</f>
        <v>44371</v>
      </c>
      <c r="G7" s="10">
        <f>IF(DAY(JunDom1)=1,JunDom1+19,JunDom1+26)</f>
        <v>44372</v>
      </c>
      <c r="H7" s="10">
        <f>IF(DAY(JunDom1)=1,JunDom1+20,JunDom1+27)</f>
        <v>44373</v>
      </c>
      <c r="I7" s="10">
        <f>IF(DAY(JunDom1)=1,JunDom1+21,JunDom1+28)</f>
        <v>44374</v>
      </c>
      <c r="J7" s="5"/>
      <c r="K7" s="11"/>
      <c r="L7" s="17"/>
      <c r="M7" s="42"/>
      <c r="N7" s="43"/>
    </row>
    <row r="8" spans="1:15" ht="18.75" customHeight="1">
      <c r="A8" s="4"/>
      <c r="B8" s="84"/>
      <c r="C8" s="10">
        <f>IF(DAY(JunDom1)=1,JunDom1+22,JunDom1+29)</f>
        <v>44375</v>
      </c>
      <c r="D8" s="10">
        <f>IF(DAY(JunDom1)=1,JunDom1+23,JunDom1+30)</f>
        <v>44376</v>
      </c>
      <c r="E8" s="10">
        <f>IF(DAY(JunDom1)=1,JunDom1+24,JunDom1+31)</f>
        <v>44377</v>
      </c>
      <c r="F8" s="10">
        <f>IF(DAY(JunDom1)=1,JunDom1+25,JunDom1+32)</f>
        <v>44378</v>
      </c>
      <c r="G8" s="10">
        <f>IF(DAY(JunDom1)=1,JunDom1+26,JunDom1+33)</f>
        <v>44379</v>
      </c>
      <c r="H8" s="10">
        <f>IF(DAY(JunDom1)=1,JunDom1+27,JunDom1+34)</f>
        <v>44380</v>
      </c>
      <c r="I8" s="10">
        <f>IF(DAY(JunDom1)=1,JunDom1+28,JunDom1+35)</f>
        <v>44381</v>
      </c>
      <c r="J8" s="5"/>
      <c r="K8" s="11"/>
      <c r="L8" s="17"/>
      <c r="M8" s="42"/>
      <c r="N8" s="43"/>
    </row>
    <row r="9" spans="1:15" ht="18" customHeight="1">
      <c r="A9" s="4"/>
      <c r="B9" s="84"/>
      <c r="C9" s="10">
        <f>IF(DAY(JunDom1)=1,JunDom1+29,JunDom1+36)</f>
        <v>44382</v>
      </c>
      <c r="D9" s="10">
        <f>IF(DAY(JunDom1)=1,JunDom1+30,JunDom1+37)</f>
        <v>44383</v>
      </c>
      <c r="E9" s="10">
        <f>IF(DAY(JunDom1)=1,JunDom1+31,JunDom1+38)</f>
        <v>44384</v>
      </c>
      <c r="F9" s="10">
        <f>IF(DAY(JunDom1)=1,JunDom1+32,JunDom1+39)</f>
        <v>44385</v>
      </c>
      <c r="G9" s="10">
        <f>IF(DAY(JunDom1)=1,JunDom1+33,JunDom1+40)</f>
        <v>44386</v>
      </c>
      <c r="H9" s="10">
        <f>IF(DAY(JunDom1)=1,JunDom1+34,JunDom1+41)</f>
        <v>44387</v>
      </c>
      <c r="I9" s="10">
        <f>IF(DAY(JunDom1)=1,JunDom1+35,JunDom1+42)</f>
        <v>44388</v>
      </c>
      <c r="J9" s="5"/>
      <c r="K9" s="12"/>
      <c r="L9" s="18"/>
      <c r="M9" s="46"/>
      <c r="N9" s="47"/>
    </row>
    <row r="10" spans="1:15" ht="18" customHeight="1">
      <c r="A10" s="4"/>
      <c r="B10" s="85"/>
      <c r="C10" s="23"/>
      <c r="D10" s="23"/>
      <c r="E10" s="23"/>
      <c r="F10" s="23"/>
      <c r="G10" s="23"/>
      <c r="H10" s="23"/>
      <c r="I10" s="23"/>
      <c r="J10" s="24"/>
      <c r="K10" s="52" t="s">
        <v>12</v>
      </c>
      <c r="L10" s="16"/>
      <c r="M10" s="63"/>
      <c r="N10" s="56"/>
      <c r="O10" s="39"/>
    </row>
    <row r="11" spans="1:15" ht="18" customHeight="1">
      <c r="A11" s="4"/>
      <c r="B11" s="105" t="s">
        <v>10</v>
      </c>
      <c r="C11" s="106"/>
      <c r="D11" s="106"/>
      <c r="E11" s="106"/>
      <c r="F11" s="106"/>
      <c r="G11" s="106"/>
      <c r="H11" s="106"/>
      <c r="I11" s="106"/>
      <c r="J11" s="107"/>
      <c r="K11" s="53"/>
      <c r="L11" s="17"/>
      <c r="M11" s="57"/>
      <c r="N11" s="58"/>
      <c r="O11" s="40"/>
    </row>
    <row r="12" spans="1:15" ht="18" customHeight="1">
      <c r="A12" s="4"/>
      <c r="B12" s="86"/>
      <c r="C12" s="108"/>
      <c r="D12" s="108"/>
      <c r="E12" s="108"/>
      <c r="F12" s="108"/>
      <c r="G12" s="108"/>
      <c r="H12" s="108"/>
      <c r="I12" s="108"/>
      <c r="J12" s="88"/>
      <c r="K12" s="53"/>
      <c r="L12" s="17"/>
      <c r="M12" s="57"/>
      <c r="N12" s="58"/>
      <c r="O12" s="40"/>
    </row>
    <row r="13" spans="1:15" ht="18" customHeight="1">
      <c r="B13" s="3" t="s">
        <v>11</v>
      </c>
      <c r="C13" s="74" t="s">
        <v>12</v>
      </c>
      <c r="D13" s="76"/>
      <c r="E13" s="74" t="s">
        <v>13</v>
      </c>
      <c r="F13" s="76"/>
      <c r="G13" s="74" t="s">
        <v>14</v>
      </c>
      <c r="H13" s="76"/>
      <c r="I13" s="74" t="s">
        <v>15</v>
      </c>
      <c r="J13" s="75"/>
      <c r="K13" s="11"/>
      <c r="L13" s="17"/>
      <c r="M13" s="109"/>
      <c r="N13" s="109"/>
      <c r="O13" s="40"/>
    </row>
    <row r="14" spans="1:15" ht="18" customHeight="1">
      <c r="B14" s="8"/>
      <c r="C14" s="59"/>
      <c r="D14" s="60"/>
      <c r="E14" s="59"/>
      <c r="F14" s="60"/>
      <c r="G14" s="59"/>
      <c r="H14" s="60"/>
      <c r="I14" s="59"/>
      <c r="J14" s="73"/>
      <c r="K14" s="11"/>
      <c r="L14" s="17"/>
      <c r="M14" s="109"/>
      <c r="N14" s="109"/>
      <c r="O14" s="40"/>
    </row>
    <row r="15" spans="1:15" ht="18" customHeight="1">
      <c r="B15" s="6"/>
      <c r="C15" s="61"/>
      <c r="D15" s="62"/>
      <c r="E15" s="61"/>
      <c r="F15" s="62"/>
      <c r="G15" s="61"/>
      <c r="H15" s="62"/>
      <c r="I15" s="77"/>
      <c r="J15" s="78"/>
      <c r="K15" s="13"/>
      <c r="L15" s="19"/>
      <c r="M15" s="46"/>
      <c r="N15" s="47"/>
    </row>
    <row r="16" spans="1:15" ht="18" customHeight="1">
      <c r="B16" s="8"/>
      <c r="C16" s="59"/>
      <c r="D16" s="60"/>
      <c r="E16" s="59"/>
      <c r="F16" s="60"/>
      <c r="G16" s="59"/>
      <c r="H16" s="60"/>
      <c r="I16" s="91"/>
      <c r="J16" s="92"/>
      <c r="K16" s="48" t="s">
        <v>13</v>
      </c>
      <c r="L16" s="16"/>
      <c r="M16" s="63"/>
      <c r="N16" s="56"/>
    </row>
    <row r="17" spans="2:14" ht="18" customHeight="1">
      <c r="B17" s="6"/>
      <c r="C17" s="61"/>
      <c r="D17" s="62"/>
      <c r="E17" s="61"/>
      <c r="F17" s="62"/>
      <c r="G17" s="61"/>
      <c r="H17" s="62"/>
      <c r="I17" s="77"/>
      <c r="J17" s="78"/>
      <c r="K17" s="49"/>
      <c r="L17" s="17"/>
      <c r="M17" s="57"/>
      <c r="N17" s="58"/>
    </row>
    <row r="18" spans="2:14" ht="18" customHeight="1">
      <c r="B18" s="9"/>
      <c r="C18" s="79"/>
      <c r="D18" s="80"/>
      <c r="E18" s="79"/>
      <c r="F18" s="80"/>
      <c r="G18" s="79"/>
      <c r="H18" s="80"/>
      <c r="I18" s="79"/>
      <c r="J18" s="81"/>
      <c r="K18" s="49"/>
      <c r="L18" s="17"/>
      <c r="M18" s="57"/>
      <c r="N18" s="58"/>
    </row>
    <row r="19" spans="2:14" ht="18" customHeight="1">
      <c r="B19" s="6"/>
      <c r="C19" s="61"/>
      <c r="D19" s="62"/>
      <c r="E19" s="61"/>
      <c r="F19" s="62"/>
      <c r="G19" s="61"/>
      <c r="H19" s="62"/>
      <c r="I19" s="77"/>
      <c r="J19" s="78"/>
      <c r="K19" s="11"/>
      <c r="L19" s="17"/>
      <c r="M19" s="42"/>
      <c r="N19" s="43"/>
    </row>
    <row r="20" spans="2:14" ht="18" customHeight="1">
      <c r="B20" s="8"/>
      <c r="C20" s="59"/>
      <c r="D20" s="60"/>
      <c r="E20" s="59"/>
      <c r="F20" s="60"/>
      <c r="G20" s="59"/>
      <c r="H20" s="60"/>
      <c r="I20" s="59"/>
      <c r="J20" s="73"/>
      <c r="K20" s="11"/>
      <c r="L20" s="17"/>
      <c r="M20" s="42"/>
      <c r="N20" s="43"/>
    </row>
    <row r="21" spans="2:14" ht="18" customHeight="1">
      <c r="B21" s="6"/>
      <c r="C21" s="61"/>
      <c r="D21" s="62"/>
      <c r="E21" s="61"/>
      <c r="F21" s="62"/>
      <c r="G21" s="61"/>
      <c r="H21" s="62"/>
      <c r="I21" s="89"/>
      <c r="J21" s="90"/>
      <c r="K21" s="13"/>
      <c r="L21" s="19"/>
      <c r="M21" s="46"/>
      <c r="N21" s="47"/>
    </row>
    <row r="22" spans="2:14" ht="18" customHeight="1">
      <c r="B22" s="8"/>
      <c r="C22" s="59"/>
      <c r="D22" s="60"/>
      <c r="E22" s="59"/>
      <c r="F22" s="60"/>
      <c r="G22" s="59"/>
      <c r="H22" s="60"/>
      <c r="I22" s="59"/>
      <c r="J22" s="73"/>
      <c r="K22" s="48" t="s">
        <v>14</v>
      </c>
      <c r="L22" s="16"/>
      <c r="M22" s="63"/>
      <c r="N22" s="56"/>
    </row>
    <row r="23" spans="2:14" ht="18" customHeight="1">
      <c r="B23" s="6"/>
      <c r="C23" s="61"/>
      <c r="D23" s="62"/>
      <c r="E23" s="61"/>
      <c r="F23" s="62"/>
      <c r="G23" s="61"/>
      <c r="H23" s="62"/>
      <c r="I23" s="77"/>
      <c r="J23" s="78"/>
      <c r="K23" s="49"/>
      <c r="L23" s="17"/>
      <c r="M23" s="57"/>
      <c r="N23" s="58"/>
    </row>
    <row r="24" spans="2:14" ht="18" customHeight="1">
      <c r="B24" s="8"/>
      <c r="C24" s="59"/>
      <c r="D24" s="60"/>
      <c r="E24" s="59"/>
      <c r="F24" s="60"/>
      <c r="G24" s="59"/>
      <c r="H24" s="60"/>
      <c r="I24" s="59"/>
      <c r="J24" s="73"/>
      <c r="K24" s="49"/>
      <c r="L24" s="17"/>
      <c r="M24" s="57"/>
      <c r="N24" s="58"/>
    </row>
    <row r="25" spans="2:14" ht="18" customHeight="1">
      <c r="B25" s="6"/>
      <c r="C25" s="61"/>
      <c r="D25" s="62"/>
      <c r="E25" s="61"/>
      <c r="F25" s="62"/>
      <c r="G25" s="61"/>
      <c r="H25" s="62"/>
      <c r="I25" s="77"/>
      <c r="J25" s="78"/>
      <c r="K25" s="49"/>
      <c r="L25" s="17"/>
      <c r="M25" s="42"/>
      <c r="N25" s="43"/>
    </row>
    <row r="26" spans="2:14" ht="18" customHeight="1">
      <c r="B26" s="8"/>
      <c r="C26" s="59"/>
      <c r="D26" s="60"/>
      <c r="E26" s="59"/>
      <c r="F26" s="60"/>
      <c r="G26" s="59"/>
      <c r="H26" s="60"/>
      <c r="I26" s="59"/>
      <c r="J26" s="73"/>
      <c r="K26" s="11"/>
      <c r="L26" s="17"/>
      <c r="M26" s="42"/>
      <c r="N26" s="43"/>
    </row>
    <row r="27" spans="2:14" ht="18" customHeight="1">
      <c r="B27" s="6"/>
      <c r="C27" s="61"/>
      <c r="D27" s="62"/>
      <c r="E27" s="61"/>
      <c r="F27" s="62"/>
      <c r="G27" s="61"/>
      <c r="H27" s="62"/>
      <c r="I27" s="77"/>
      <c r="J27" s="78"/>
      <c r="K27" s="13"/>
      <c r="L27" s="19"/>
      <c r="M27" s="42"/>
      <c r="N27" s="43"/>
    </row>
    <row r="28" spans="2:14" ht="18" customHeight="1">
      <c r="B28" s="8"/>
      <c r="C28" s="59"/>
      <c r="D28" s="60"/>
      <c r="E28" s="59"/>
      <c r="F28" s="60"/>
      <c r="G28" s="59"/>
      <c r="H28" s="60"/>
      <c r="I28" s="59"/>
      <c r="J28" s="73"/>
      <c r="K28" s="52" t="s">
        <v>15</v>
      </c>
      <c r="L28" s="16"/>
      <c r="M28" s="63"/>
      <c r="N28" s="56"/>
    </row>
    <row r="29" spans="2:14" ht="18" customHeight="1">
      <c r="B29" s="6"/>
      <c r="C29" s="61"/>
      <c r="D29" s="62"/>
      <c r="E29" s="61"/>
      <c r="F29" s="62"/>
      <c r="G29" s="61"/>
      <c r="H29" s="62"/>
      <c r="I29" s="61"/>
      <c r="J29" s="82"/>
      <c r="K29" s="53"/>
      <c r="L29" s="17"/>
      <c r="M29" s="57"/>
      <c r="N29" s="58"/>
    </row>
    <row r="30" spans="2:14" ht="18" customHeight="1">
      <c r="B30" s="93" t="s">
        <v>26</v>
      </c>
      <c r="C30" s="94"/>
      <c r="D30" s="94"/>
      <c r="E30" s="94"/>
      <c r="F30" s="94"/>
      <c r="G30" s="94"/>
      <c r="H30" s="94"/>
      <c r="I30" s="94"/>
      <c r="J30" s="95"/>
      <c r="K30" s="53"/>
      <c r="L30" s="17"/>
      <c r="M30" s="57"/>
      <c r="N30" s="58"/>
    </row>
    <row r="31" spans="2:14" ht="18" customHeight="1">
      <c r="B31" s="96"/>
      <c r="C31" s="97"/>
      <c r="D31" s="97"/>
      <c r="E31" s="97"/>
      <c r="F31" s="97"/>
      <c r="G31" s="97"/>
      <c r="H31" s="97"/>
      <c r="I31" s="97"/>
      <c r="J31" s="98"/>
      <c r="K31" s="14"/>
      <c r="L31" s="17"/>
      <c r="M31" s="42"/>
      <c r="N31" s="43"/>
    </row>
    <row r="32" spans="2:14" ht="18" customHeight="1">
      <c r="B32" s="96"/>
      <c r="C32" s="97"/>
      <c r="D32" s="97"/>
      <c r="E32" s="97"/>
      <c r="F32" s="97"/>
      <c r="G32" s="97"/>
      <c r="H32" s="97"/>
      <c r="I32" s="97"/>
      <c r="J32" s="98"/>
      <c r="K32" s="14"/>
      <c r="L32" s="17"/>
      <c r="M32" s="42"/>
      <c r="N32" s="43"/>
    </row>
    <row r="33" spans="2:15" ht="18" customHeight="1">
      <c r="B33" s="7"/>
      <c r="C33" s="110"/>
      <c r="D33" s="111"/>
      <c r="E33" s="110"/>
      <c r="F33" s="111"/>
      <c r="G33" s="110"/>
      <c r="H33" s="111"/>
      <c r="I33" s="112"/>
      <c r="J33" s="113"/>
      <c r="K33" s="15"/>
      <c r="L33" s="20"/>
      <c r="M33" s="42"/>
      <c r="N33" s="43"/>
    </row>
    <row r="34" spans="2:15" ht="16.5" customHeight="1">
      <c r="K34" s="54"/>
      <c r="L34" s="16"/>
      <c r="M34" s="55"/>
      <c r="N34" s="56"/>
    </row>
    <row r="35" spans="2:15" ht="16.5" customHeight="1">
      <c r="K35" s="53"/>
      <c r="L35" s="17"/>
      <c r="M35" s="42"/>
      <c r="N35" s="43"/>
    </row>
    <row r="36" spans="2:15" ht="16.5" customHeight="1">
      <c r="K36" s="53"/>
      <c r="L36" s="17"/>
      <c r="M36" s="42"/>
      <c r="N36" s="43"/>
    </row>
    <row r="37" spans="2:15" ht="16.5" customHeight="1">
      <c r="K37" s="11"/>
      <c r="L37" s="17"/>
      <c r="M37" s="42"/>
      <c r="N37" s="43"/>
    </row>
    <row r="38" spans="2:15" ht="16.5" customHeight="1">
      <c r="K38" s="11"/>
      <c r="L38" s="17"/>
      <c r="M38" s="42"/>
      <c r="N38" s="43"/>
    </row>
    <row r="39" spans="2:15" ht="16.5" customHeight="1">
      <c r="K39" s="12"/>
      <c r="L39" s="18"/>
      <c r="M39" s="46"/>
      <c r="N39" s="47"/>
    </row>
    <row r="40" spans="2:15" ht="16.5" customHeight="1">
      <c r="K40" s="52"/>
      <c r="L40" s="16"/>
      <c r="M40" s="35"/>
      <c r="N40" s="103"/>
      <c r="O40" s="104"/>
    </row>
    <row r="41" spans="2:15" ht="16.5" customHeight="1">
      <c r="K41" s="53"/>
      <c r="L41" s="17"/>
      <c r="M41" s="36"/>
      <c r="N41" s="42"/>
      <c r="O41" s="43"/>
    </row>
    <row r="42" spans="2:15" ht="16.5" customHeight="1">
      <c r="K42" s="53"/>
      <c r="L42" s="17"/>
      <c r="M42" s="36"/>
      <c r="N42" s="42"/>
      <c r="O42" s="43"/>
    </row>
    <row r="43" spans="2:15" ht="16.5" customHeight="1">
      <c r="K43" s="11"/>
      <c r="L43" s="17"/>
      <c r="M43" s="36"/>
      <c r="N43" s="42"/>
      <c r="O43" s="43"/>
    </row>
    <row r="44" spans="2:15" ht="16.5" customHeight="1">
      <c r="K44" s="11"/>
      <c r="L44" s="17"/>
      <c r="M44" s="36"/>
      <c r="N44" s="42"/>
      <c r="O44" s="43"/>
    </row>
    <row r="45" spans="2:15" ht="16.5" customHeight="1">
      <c r="K45" s="13"/>
      <c r="L45" s="19"/>
      <c r="M45" s="46"/>
      <c r="N45" s="47"/>
    </row>
    <row r="46" spans="2:15" ht="16.5" customHeight="1">
      <c r="K46" s="48"/>
      <c r="L46" s="16"/>
      <c r="M46" s="55"/>
      <c r="N46" s="56"/>
    </row>
    <row r="47" spans="2:15" ht="16.5" customHeight="1">
      <c r="K47" s="49"/>
      <c r="L47" s="17"/>
      <c r="M47" s="42"/>
      <c r="N47" s="43"/>
    </row>
    <row r="48" spans="2:15" ht="16.5" customHeight="1">
      <c r="K48" s="49"/>
      <c r="L48" s="17"/>
      <c r="M48" s="42"/>
      <c r="N48" s="43"/>
    </row>
    <row r="49" spans="11:14" ht="16.5" customHeight="1">
      <c r="K49" s="11"/>
      <c r="L49" s="17"/>
      <c r="M49" s="42"/>
      <c r="N49" s="43"/>
    </row>
    <row r="50" spans="11:14" ht="16.5" customHeight="1">
      <c r="K50" s="11"/>
      <c r="L50" s="17"/>
      <c r="M50" s="42"/>
      <c r="N50" s="43"/>
    </row>
    <row r="51" spans="11:14" ht="16.5" customHeight="1">
      <c r="K51" s="13"/>
      <c r="L51" s="19"/>
      <c r="M51" s="46"/>
      <c r="N51" s="47"/>
    </row>
    <row r="52" spans="11:14" ht="16.5" customHeight="1">
      <c r="K52" s="48"/>
      <c r="L52" s="16"/>
      <c r="M52" s="50"/>
      <c r="N52" s="51"/>
    </row>
    <row r="53" spans="11:14" ht="16.5" customHeight="1">
      <c r="K53" s="49"/>
      <c r="L53" s="17"/>
      <c r="M53" s="55"/>
      <c r="N53" s="56"/>
    </row>
    <row r="54" spans="11:14" ht="16.5" customHeight="1">
      <c r="K54" s="49"/>
      <c r="L54" s="17"/>
      <c r="M54" s="42"/>
      <c r="N54" s="43"/>
    </row>
    <row r="55" spans="11:14" ht="16.5" customHeight="1">
      <c r="K55" s="49"/>
      <c r="L55" s="17"/>
      <c r="M55" s="42"/>
      <c r="N55" s="43"/>
    </row>
    <row r="56" spans="11:14" ht="16.5" customHeight="1">
      <c r="K56" s="11"/>
      <c r="L56" s="17"/>
      <c r="M56" s="42"/>
      <c r="N56" s="43"/>
    </row>
    <row r="57" spans="11:14" ht="16.5" customHeight="1">
      <c r="K57" s="13"/>
      <c r="L57" s="19"/>
      <c r="M57" s="42"/>
      <c r="N57" s="43"/>
    </row>
    <row r="58" spans="11:14" ht="16.5" customHeight="1">
      <c r="K58" s="52"/>
      <c r="L58" s="16"/>
      <c r="M58" s="50"/>
      <c r="N58" s="51"/>
    </row>
    <row r="59" spans="11:14" ht="16.5" customHeight="1">
      <c r="K59" s="53"/>
      <c r="L59" s="17"/>
      <c r="M59" s="55"/>
      <c r="N59" s="56"/>
    </row>
    <row r="60" spans="11:14" ht="16.5" customHeight="1">
      <c r="K60" s="53"/>
      <c r="L60" s="17"/>
      <c r="M60" s="42"/>
      <c r="N60" s="43"/>
    </row>
    <row r="61" spans="11:14" ht="16.5" customHeight="1">
      <c r="K61" s="14"/>
      <c r="L61" s="17"/>
      <c r="M61" s="42"/>
      <c r="N61" s="43"/>
    </row>
    <row r="62" spans="11:14" ht="16.5" customHeight="1">
      <c r="K62" s="14"/>
      <c r="L62" s="17"/>
      <c r="M62" s="42"/>
      <c r="N62" s="43"/>
    </row>
    <row r="63" spans="11:14" ht="16.5" customHeight="1">
      <c r="K63" s="15"/>
      <c r="L63" s="20"/>
      <c r="M63" s="42"/>
      <c r="N63" s="43"/>
    </row>
    <row r="65" spans="11:15" ht="16.5" customHeight="1">
      <c r="K65" s="54"/>
      <c r="L65" s="16"/>
      <c r="M65" s="55"/>
      <c r="N65" s="56"/>
    </row>
    <row r="66" spans="11:15" ht="16.5" customHeight="1">
      <c r="K66" s="53"/>
      <c r="L66" s="17"/>
      <c r="M66" s="42"/>
      <c r="N66" s="43"/>
    </row>
    <row r="67" spans="11:15" ht="16.5" customHeight="1">
      <c r="K67" s="53"/>
      <c r="L67" s="17"/>
      <c r="M67" s="42"/>
      <c r="N67" s="43"/>
    </row>
    <row r="68" spans="11:15" ht="16.5" customHeight="1">
      <c r="K68" s="11"/>
      <c r="L68" s="17"/>
      <c r="M68" s="42"/>
      <c r="N68" s="43"/>
    </row>
    <row r="69" spans="11:15" ht="16.5" customHeight="1">
      <c r="K69" s="11"/>
      <c r="L69" s="17"/>
      <c r="M69" s="42"/>
      <c r="N69" s="43"/>
    </row>
    <row r="70" spans="11:15" ht="16.5" customHeight="1">
      <c r="K70" s="12"/>
      <c r="L70" s="18"/>
      <c r="M70" s="46"/>
      <c r="N70" s="47"/>
    </row>
    <row r="71" spans="11:15" ht="16.5" customHeight="1">
      <c r="K71" s="52"/>
      <c r="L71" s="16"/>
      <c r="M71" s="35"/>
      <c r="N71" s="103"/>
      <c r="O71" s="104"/>
    </row>
    <row r="72" spans="11:15" ht="16.5" customHeight="1">
      <c r="K72" s="53"/>
      <c r="L72" s="17"/>
      <c r="M72" s="36"/>
      <c r="N72" s="42"/>
      <c r="O72" s="43"/>
    </row>
    <row r="73" spans="11:15" ht="16.5" customHeight="1">
      <c r="K73" s="53"/>
      <c r="L73" s="17"/>
      <c r="M73" s="36"/>
      <c r="N73" s="42"/>
      <c r="O73" s="43"/>
    </row>
    <row r="74" spans="11:15" ht="16.5" customHeight="1">
      <c r="K74" s="11"/>
      <c r="L74" s="17"/>
      <c r="M74" s="36"/>
      <c r="N74" s="42"/>
      <c r="O74" s="43"/>
    </row>
    <row r="75" spans="11:15" ht="16.5" customHeight="1">
      <c r="K75" s="11"/>
      <c r="L75" s="17"/>
      <c r="M75" s="36"/>
      <c r="N75" s="42"/>
      <c r="O75" s="43"/>
    </row>
    <row r="76" spans="11:15" ht="16.5" customHeight="1">
      <c r="K76" s="13"/>
      <c r="L76" s="19"/>
      <c r="M76" s="46"/>
      <c r="N76" s="47"/>
    </row>
    <row r="77" spans="11:15" ht="16.5" customHeight="1">
      <c r="K77" s="48"/>
      <c r="L77" s="16"/>
      <c r="M77" s="55"/>
      <c r="N77" s="56"/>
    </row>
    <row r="78" spans="11:15" ht="16.5" customHeight="1">
      <c r="K78" s="49"/>
      <c r="L78" s="17"/>
      <c r="M78" s="42"/>
      <c r="N78" s="43"/>
    </row>
    <row r="79" spans="11:15" ht="16.5" customHeight="1">
      <c r="K79" s="49"/>
      <c r="L79" s="17"/>
      <c r="M79" s="42"/>
      <c r="N79" s="43"/>
    </row>
    <row r="80" spans="11:15" ht="16.5" customHeight="1">
      <c r="K80" s="11"/>
      <c r="L80" s="17"/>
      <c r="M80" s="42"/>
      <c r="N80" s="43"/>
    </row>
    <row r="81" spans="11:14" ht="16.5" customHeight="1">
      <c r="K81" s="11"/>
      <c r="L81" s="17"/>
      <c r="M81" s="42"/>
      <c r="N81" s="43"/>
    </row>
    <row r="82" spans="11:14" ht="16.5" customHeight="1">
      <c r="K82" s="13"/>
      <c r="L82" s="19"/>
      <c r="M82" s="46"/>
      <c r="N82" s="47"/>
    </row>
    <row r="83" spans="11:14" ht="16.5" customHeight="1">
      <c r="K83" s="48"/>
      <c r="L83" s="16"/>
      <c r="M83" s="50"/>
      <c r="N83" s="51"/>
    </row>
    <row r="84" spans="11:14" ht="16.5" customHeight="1">
      <c r="K84" s="49"/>
      <c r="L84" s="17"/>
      <c r="M84" s="55"/>
      <c r="N84" s="56"/>
    </row>
    <row r="85" spans="11:14" ht="16.5" customHeight="1">
      <c r="K85" s="49"/>
      <c r="L85" s="17"/>
      <c r="M85" s="42"/>
      <c r="N85" s="43"/>
    </row>
    <row r="86" spans="11:14" ht="16.5" customHeight="1">
      <c r="K86" s="49"/>
      <c r="L86" s="17"/>
      <c r="M86" s="42"/>
      <c r="N86" s="43"/>
    </row>
    <row r="87" spans="11:14" ht="16.5" customHeight="1">
      <c r="K87" s="11"/>
      <c r="L87" s="17"/>
      <c r="M87" s="42"/>
      <c r="N87" s="43"/>
    </row>
    <row r="88" spans="11:14" ht="16.5" customHeight="1">
      <c r="K88" s="13"/>
      <c r="L88" s="19"/>
      <c r="M88" s="42"/>
      <c r="N88" s="43"/>
    </row>
    <row r="89" spans="11:14" ht="16.5" customHeight="1">
      <c r="K89" s="52"/>
      <c r="L89" s="16"/>
      <c r="M89" s="50"/>
      <c r="N89" s="51"/>
    </row>
    <row r="90" spans="11:14" ht="16.5" customHeight="1">
      <c r="K90" s="53"/>
      <c r="L90" s="17"/>
      <c r="M90" s="55"/>
      <c r="N90" s="56"/>
    </row>
    <row r="91" spans="11:14" ht="16.5" customHeight="1">
      <c r="K91" s="53"/>
      <c r="L91" s="17"/>
      <c r="M91" s="42"/>
      <c r="N91" s="43"/>
    </row>
    <row r="92" spans="11:14" ht="16.5" customHeight="1">
      <c r="K92" s="14"/>
      <c r="L92" s="17"/>
      <c r="M92" s="42"/>
      <c r="N92" s="43"/>
    </row>
    <row r="93" spans="11:14" ht="16.5" customHeight="1">
      <c r="K93" s="14"/>
      <c r="L93" s="17"/>
      <c r="M93" s="42"/>
      <c r="N93" s="43"/>
    </row>
    <row r="94" spans="11:14" ht="16.5" customHeight="1">
      <c r="K94" s="15"/>
      <c r="L94" s="20"/>
      <c r="M94" s="42"/>
      <c r="N94" s="43"/>
    </row>
    <row r="95" spans="11:14" ht="16.5" customHeight="1">
      <c r="K95" s="54"/>
      <c r="L95" s="16"/>
      <c r="M95" s="55"/>
      <c r="N95" s="56"/>
    </row>
    <row r="96" spans="11:14" ht="16.5" customHeight="1">
      <c r="K96" s="53"/>
      <c r="L96" s="17"/>
      <c r="M96" s="42"/>
      <c r="N96" s="43"/>
    </row>
    <row r="97" spans="11:15" ht="16.5" customHeight="1">
      <c r="K97" s="53"/>
      <c r="L97" s="17"/>
      <c r="M97" s="42"/>
      <c r="N97" s="43"/>
    </row>
    <row r="98" spans="11:15" ht="16.5" customHeight="1">
      <c r="K98" s="11"/>
      <c r="L98" s="17"/>
      <c r="M98" s="42"/>
      <c r="N98" s="43"/>
    </row>
    <row r="99" spans="11:15" ht="16.5" customHeight="1">
      <c r="K99" s="11"/>
      <c r="L99" s="17"/>
      <c r="M99" s="42"/>
      <c r="N99" s="43"/>
    </row>
    <row r="100" spans="11:15" ht="16.5" customHeight="1">
      <c r="K100" s="12"/>
      <c r="L100" s="18"/>
      <c r="M100" s="46"/>
      <c r="N100" s="47"/>
    </row>
    <row r="101" spans="11:15" ht="16.5" customHeight="1">
      <c r="K101" s="52"/>
      <c r="L101" s="16"/>
      <c r="M101" s="35"/>
      <c r="N101" s="103"/>
      <c r="O101" s="104"/>
    </row>
    <row r="102" spans="11:15" ht="16.5" customHeight="1">
      <c r="K102" s="53"/>
      <c r="L102" s="17"/>
      <c r="M102" s="36"/>
      <c r="N102" s="42"/>
      <c r="O102" s="43"/>
    </row>
    <row r="103" spans="11:15" ht="16.5" customHeight="1">
      <c r="K103" s="53"/>
      <c r="L103" s="17"/>
      <c r="M103" s="36"/>
      <c r="N103" s="42"/>
      <c r="O103" s="43"/>
    </row>
    <row r="104" spans="11:15" ht="16.5" customHeight="1">
      <c r="K104" s="11"/>
      <c r="L104" s="17"/>
      <c r="M104" s="36"/>
      <c r="N104" s="42"/>
      <c r="O104" s="43"/>
    </row>
    <row r="105" spans="11:15" ht="16.5" customHeight="1">
      <c r="K105" s="11"/>
      <c r="L105" s="17"/>
      <c r="M105" s="36"/>
      <c r="N105" s="42"/>
      <c r="O105" s="43"/>
    </row>
    <row r="106" spans="11:15" ht="16.5" customHeight="1">
      <c r="K106" s="13"/>
      <c r="L106" s="19"/>
      <c r="M106" s="46"/>
      <c r="N106" s="47"/>
    </row>
    <row r="107" spans="11:15" ht="16.5" customHeight="1">
      <c r="K107" s="48"/>
      <c r="L107" s="16"/>
      <c r="M107" s="55"/>
      <c r="N107" s="56"/>
    </row>
    <row r="108" spans="11:15" ht="16.5" customHeight="1">
      <c r="K108" s="49"/>
      <c r="L108" s="17"/>
      <c r="M108" s="42"/>
      <c r="N108" s="43"/>
    </row>
    <row r="109" spans="11:15" ht="16.5" customHeight="1">
      <c r="K109" s="49"/>
      <c r="L109" s="17"/>
      <c r="M109" s="42"/>
      <c r="N109" s="43"/>
    </row>
    <row r="110" spans="11:15" ht="16.5" customHeight="1">
      <c r="K110" s="11"/>
      <c r="L110" s="17"/>
      <c r="M110" s="42"/>
      <c r="N110" s="43"/>
    </row>
    <row r="111" spans="11:15" ht="16.5" customHeight="1">
      <c r="K111" s="11"/>
      <c r="L111" s="17"/>
      <c r="M111" s="42"/>
      <c r="N111" s="43"/>
    </row>
    <row r="112" spans="11:15" ht="16.5" customHeight="1">
      <c r="K112" s="13"/>
      <c r="L112" s="19"/>
      <c r="M112" s="46"/>
      <c r="N112" s="47"/>
    </row>
    <row r="113" spans="11:14" ht="16.5" customHeight="1">
      <c r="K113" s="48"/>
      <c r="L113" s="16"/>
      <c r="M113" s="50"/>
      <c r="N113" s="51"/>
    </row>
    <row r="114" spans="11:14" ht="16.5" customHeight="1">
      <c r="K114" s="49"/>
      <c r="L114" s="17"/>
      <c r="M114" s="55"/>
      <c r="N114" s="56"/>
    </row>
    <row r="115" spans="11:14" ht="16.5" customHeight="1">
      <c r="K115" s="49"/>
      <c r="L115" s="17"/>
      <c r="M115" s="42"/>
      <c r="N115" s="43"/>
    </row>
    <row r="116" spans="11:14" ht="16.5" customHeight="1">
      <c r="K116" s="49"/>
      <c r="L116" s="17"/>
      <c r="M116" s="42"/>
      <c r="N116" s="43"/>
    </row>
    <row r="117" spans="11:14" ht="16.5" customHeight="1">
      <c r="K117" s="11"/>
      <c r="L117" s="17"/>
      <c r="M117" s="42"/>
      <c r="N117" s="43"/>
    </row>
    <row r="118" spans="11:14" ht="16.5" customHeight="1">
      <c r="K118" s="13"/>
      <c r="L118" s="19"/>
      <c r="M118" s="42"/>
      <c r="N118" s="43"/>
    </row>
    <row r="119" spans="11:14" ht="16.5" customHeight="1">
      <c r="K119" s="52"/>
      <c r="L119" s="16"/>
      <c r="M119" s="50"/>
      <c r="N119" s="51"/>
    </row>
    <row r="120" spans="11:14" ht="16.5" customHeight="1">
      <c r="K120" s="53"/>
      <c r="L120" s="17"/>
      <c r="M120" s="55"/>
      <c r="N120" s="56"/>
    </row>
    <row r="121" spans="11:14" ht="16.5" customHeight="1">
      <c r="K121" s="53"/>
      <c r="L121" s="17"/>
      <c r="M121" s="42"/>
      <c r="N121" s="43"/>
    </row>
    <row r="122" spans="11:14" ht="16.5" customHeight="1">
      <c r="K122" s="14"/>
      <c r="L122" s="17"/>
      <c r="M122" s="42"/>
      <c r="N122" s="43"/>
    </row>
    <row r="123" spans="11:14" ht="16.5" customHeight="1">
      <c r="K123" s="14"/>
      <c r="L123" s="17"/>
      <c r="M123" s="42"/>
      <c r="N123" s="43"/>
    </row>
    <row r="124" spans="11:14" ht="16.5" customHeight="1">
      <c r="K124" s="15"/>
      <c r="L124" s="20"/>
      <c r="M124" s="42"/>
      <c r="N124" s="43"/>
    </row>
    <row r="125" spans="11:14" ht="16.5" customHeight="1">
      <c r="K125" s="54"/>
      <c r="L125" s="16"/>
      <c r="M125" s="55"/>
      <c r="N125" s="56"/>
    </row>
    <row r="126" spans="11:14" ht="16.5" customHeight="1">
      <c r="K126" s="53"/>
      <c r="L126" s="17"/>
      <c r="M126" s="42"/>
      <c r="N126" s="43"/>
    </row>
    <row r="127" spans="11:14" ht="16.5" customHeight="1">
      <c r="K127" s="53"/>
      <c r="L127" s="17"/>
      <c r="M127" s="42"/>
      <c r="N127" s="43"/>
    </row>
    <row r="128" spans="11:14" ht="16.5" customHeight="1">
      <c r="K128" s="11"/>
      <c r="L128" s="17"/>
      <c r="M128" s="42"/>
      <c r="N128" s="43"/>
    </row>
    <row r="129" spans="11:17" ht="16.5" customHeight="1">
      <c r="K129" s="11"/>
      <c r="L129" s="17"/>
      <c r="M129" s="42"/>
      <c r="N129" s="43"/>
    </row>
    <row r="130" spans="11:17" ht="16.5" customHeight="1">
      <c r="K130" s="12"/>
      <c r="L130" s="18"/>
      <c r="M130" s="46"/>
      <c r="N130" s="47"/>
    </row>
    <row r="131" spans="11:17" ht="16.5" customHeight="1">
      <c r="K131" s="52"/>
      <c r="L131" s="16"/>
      <c r="M131" s="35"/>
      <c r="N131" s="103"/>
      <c r="O131" s="104"/>
    </row>
    <row r="132" spans="11:17" ht="16.5" customHeight="1">
      <c r="K132" s="53"/>
      <c r="L132" s="17"/>
      <c r="M132" s="36"/>
      <c r="N132" s="42"/>
      <c r="O132" s="43"/>
    </row>
    <row r="133" spans="11:17" ht="16.5" customHeight="1">
      <c r="K133" s="53"/>
      <c r="L133" s="17"/>
      <c r="M133" s="36"/>
      <c r="N133" s="42"/>
      <c r="O133" s="43"/>
    </row>
    <row r="134" spans="11:17" ht="16.5" customHeight="1">
      <c r="K134" s="11"/>
      <c r="L134" s="17"/>
      <c r="M134" s="36"/>
      <c r="N134" s="42"/>
      <c r="O134" s="43"/>
    </row>
    <row r="135" spans="11:17" ht="16.5" customHeight="1">
      <c r="K135" s="11"/>
      <c r="L135" s="17"/>
      <c r="M135" s="36"/>
      <c r="N135" s="42"/>
      <c r="O135" s="43"/>
    </row>
    <row r="136" spans="11:17" ht="16.5" customHeight="1">
      <c r="K136" s="13"/>
      <c r="L136" s="19"/>
      <c r="M136" s="46"/>
      <c r="N136" s="47"/>
    </row>
    <row r="137" spans="11:17" ht="16.5" customHeight="1">
      <c r="Q137" s="34" t="s">
        <v>30</v>
      </c>
    </row>
  </sheetData>
  <mergeCells count="230">
    <mergeCell ref="M29:N29"/>
    <mergeCell ref="M30:N30"/>
    <mergeCell ref="C33:D33"/>
    <mergeCell ref="E33:F33"/>
    <mergeCell ref="G33:H33"/>
    <mergeCell ref="I33:J33"/>
    <mergeCell ref="M33:N33"/>
    <mergeCell ref="M31:N31"/>
    <mergeCell ref="M32:N32"/>
    <mergeCell ref="B30:J32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M22:N22"/>
    <mergeCell ref="C23:D23"/>
    <mergeCell ref="E23:F23"/>
    <mergeCell ref="G23:H23"/>
    <mergeCell ref="I23:J23"/>
    <mergeCell ref="M23:N23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G15:H15"/>
    <mergeCell ref="I15:J15"/>
    <mergeCell ref="M15:N15"/>
    <mergeCell ref="M14:N14"/>
    <mergeCell ref="M17:N17"/>
    <mergeCell ref="C18:D18"/>
    <mergeCell ref="E18:F18"/>
    <mergeCell ref="G18:H18"/>
    <mergeCell ref="I18:J18"/>
    <mergeCell ref="M18:N18"/>
    <mergeCell ref="M10:N10"/>
    <mergeCell ref="M11:N11"/>
    <mergeCell ref="M12:N12"/>
    <mergeCell ref="M13:N13"/>
    <mergeCell ref="C14:D14"/>
    <mergeCell ref="E14:F14"/>
    <mergeCell ref="G14:H14"/>
    <mergeCell ref="I14:J14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N40:O40"/>
    <mergeCell ref="N41:O41"/>
    <mergeCell ref="N42:O42"/>
    <mergeCell ref="B11:J12"/>
    <mergeCell ref="C13:D13"/>
    <mergeCell ref="E13:F13"/>
    <mergeCell ref="G13:H13"/>
    <mergeCell ref="I13:J13"/>
    <mergeCell ref="C15:D15"/>
    <mergeCell ref="E15:F15"/>
    <mergeCell ref="M49:N49"/>
    <mergeCell ref="M50:N50"/>
    <mergeCell ref="K34:K36"/>
    <mergeCell ref="M34:N34"/>
    <mergeCell ref="M35:N35"/>
    <mergeCell ref="M36:N36"/>
    <mergeCell ref="M37:N37"/>
    <mergeCell ref="M38:N38"/>
    <mergeCell ref="M39:N39"/>
    <mergeCell ref="K40:K42"/>
    <mergeCell ref="N43:O43"/>
    <mergeCell ref="N44:O44"/>
    <mergeCell ref="M45:N45"/>
    <mergeCell ref="K46:K48"/>
    <mergeCell ref="M46:N46"/>
    <mergeCell ref="M47:N47"/>
    <mergeCell ref="M48:N48"/>
    <mergeCell ref="M56:N56"/>
    <mergeCell ref="M57:N57"/>
    <mergeCell ref="K58:K60"/>
    <mergeCell ref="M58:N58"/>
    <mergeCell ref="M59:N59"/>
    <mergeCell ref="M60:N60"/>
    <mergeCell ref="M66:N66"/>
    <mergeCell ref="M67:N67"/>
    <mergeCell ref="M68:N68"/>
    <mergeCell ref="M69:N69"/>
    <mergeCell ref="M51:N51"/>
    <mergeCell ref="K52:K55"/>
    <mergeCell ref="M52:N52"/>
    <mergeCell ref="M53:N53"/>
    <mergeCell ref="M54:N54"/>
    <mergeCell ref="M55:N55"/>
    <mergeCell ref="M76:N76"/>
    <mergeCell ref="K77:K79"/>
    <mergeCell ref="M77:N77"/>
    <mergeCell ref="M78:N78"/>
    <mergeCell ref="M79:N79"/>
    <mergeCell ref="M61:N61"/>
    <mergeCell ref="M62:N62"/>
    <mergeCell ref="M63:N63"/>
    <mergeCell ref="K65:K67"/>
    <mergeCell ref="M65:N65"/>
    <mergeCell ref="M85:N85"/>
    <mergeCell ref="M86:N86"/>
    <mergeCell ref="M87:N87"/>
    <mergeCell ref="M70:N70"/>
    <mergeCell ref="K71:K73"/>
    <mergeCell ref="N71:O71"/>
    <mergeCell ref="N72:O72"/>
    <mergeCell ref="N73:O73"/>
    <mergeCell ref="N74:O74"/>
    <mergeCell ref="N75:O75"/>
    <mergeCell ref="K95:K97"/>
    <mergeCell ref="M95:N95"/>
    <mergeCell ref="M96:N96"/>
    <mergeCell ref="M97:N97"/>
    <mergeCell ref="M80:N80"/>
    <mergeCell ref="M81:N81"/>
    <mergeCell ref="M82:N82"/>
    <mergeCell ref="K83:K86"/>
    <mergeCell ref="M83:N83"/>
    <mergeCell ref="M84:N84"/>
    <mergeCell ref="N104:O104"/>
    <mergeCell ref="N105:O105"/>
    <mergeCell ref="M88:N88"/>
    <mergeCell ref="K89:K91"/>
    <mergeCell ref="M89:N89"/>
    <mergeCell ref="M90:N90"/>
    <mergeCell ref="M91:N91"/>
    <mergeCell ref="M92:N92"/>
    <mergeCell ref="M93:N93"/>
    <mergeCell ref="M94:N94"/>
    <mergeCell ref="M98:N98"/>
    <mergeCell ref="M99:N99"/>
    <mergeCell ref="M100:N100"/>
    <mergeCell ref="K101:K103"/>
    <mergeCell ref="N101:O101"/>
    <mergeCell ref="N102:O102"/>
    <mergeCell ref="N103:O103"/>
    <mergeCell ref="M112:N112"/>
    <mergeCell ref="K113:K116"/>
    <mergeCell ref="M113:N113"/>
    <mergeCell ref="M114:N114"/>
    <mergeCell ref="M115:N115"/>
    <mergeCell ref="M116:N116"/>
    <mergeCell ref="M122:N122"/>
    <mergeCell ref="M123:N123"/>
    <mergeCell ref="M124:N124"/>
    <mergeCell ref="M106:N106"/>
    <mergeCell ref="K107:K109"/>
    <mergeCell ref="M107:N107"/>
    <mergeCell ref="M108:N108"/>
    <mergeCell ref="M109:N109"/>
    <mergeCell ref="M110:N110"/>
    <mergeCell ref="M111:N111"/>
    <mergeCell ref="K131:K133"/>
    <mergeCell ref="N131:O131"/>
    <mergeCell ref="N132:O132"/>
    <mergeCell ref="N133:O133"/>
    <mergeCell ref="M117:N117"/>
    <mergeCell ref="M118:N118"/>
    <mergeCell ref="K119:K121"/>
    <mergeCell ref="M119:N119"/>
    <mergeCell ref="M120:N120"/>
    <mergeCell ref="M121:N121"/>
    <mergeCell ref="N134:O134"/>
    <mergeCell ref="N135:O135"/>
    <mergeCell ref="M136:N136"/>
    <mergeCell ref="K125:K127"/>
    <mergeCell ref="M125:N125"/>
    <mergeCell ref="M126:N126"/>
    <mergeCell ref="M127:N127"/>
    <mergeCell ref="M128:N128"/>
    <mergeCell ref="M129:N129"/>
    <mergeCell ref="M130:N130"/>
  </mergeCells>
  <conditionalFormatting sqref="C4:H4">
    <cfRule type="expression" dxfId="39" priority="6" stopIfTrue="1">
      <formula>DAY(C4)&gt;8</formula>
    </cfRule>
  </conditionalFormatting>
  <conditionalFormatting sqref="C8:I10">
    <cfRule type="expression" dxfId="38" priority="5" stopIfTrue="1">
      <formula>AND(DAY(C8)&gt;=1,DAY(C8)&lt;=15)</formula>
    </cfRule>
  </conditionalFormatting>
  <conditionalFormatting sqref="C4:I9">
    <cfRule type="expression" dxfId="37" priority="7">
      <formula>VLOOKUP(DAY(C4),DíasDeTareas,1,FALSE)=DAY(C4)</formula>
    </cfRule>
  </conditionalFormatting>
  <conditionalFormatting sqref="B14:J29 B33:J33">
    <cfRule type="expression" dxfId="36" priority="4">
      <formula>B14&lt;&gt;""</formula>
    </cfRule>
  </conditionalFormatting>
  <conditionalFormatting sqref="B30">
    <cfRule type="expression" dxfId="35" priority="2">
      <formula>B30&lt;&gt;""</formula>
    </cfRule>
  </conditionalFormatting>
  <conditionalFormatting sqref="B30">
    <cfRule type="expression" dxfId="34" priority="1">
      <formula>B30&lt;&gt;""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O33"/>
  <sheetViews>
    <sheetView showGridLines="0" topLeftCell="A13" zoomScale="70" zoomScaleNormal="70" zoomScalePageLayoutView="84" workbookViewId="0">
      <selection activeCell="I28" sqref="I28:J28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22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83" t="s">
        <v>20</v>
      </c>
      <c r="C2" s="21"/>
      <c r="D2" s="21"/>
      <c r="E2" s="21"/>
      <c r="F2" s="21"/>
      <c r="G2" s="21"/>
      <c r="H2" s="21"/>
      <c r="I2" s="21"/>
      <c r="J2" s="22"/>
      <c r="K2" s="67" t="s">
        <v>2</v>
      </c>
      <c r="L2" s="68">
        <v>2013</v>
      </c>
      <c r="M2" s="68"/>
      <c r="N2" s="25"/>
    </row>
    <row r="3" spans="1:14" ht="21" customHeight="1">
      <c r="A3" s="4"/>
      <c r="B3" s="84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69"/>
      <c r="L3" s="70"/>
      <c r="M3" s="70"/>
      <c r="N3" s="26"/>
    </row>
    <row r="4" spans="1:14" ht="18" customHeight="1">
      <c r="A4" s="4"/>
      <c r="B4" s="84"/>
      <c r="C4" s="10">
        <f>IF(DAY(JulDom1)=1,JulDom1-6,JulDom1+1)</f>
        <v>44375</v>
      </c>
      <c r="D4" s="10">
        <f>IF(DAY(JulDom1)=1,JulDom1-5,JulDom1+2)</f>
        <v>44376</v>
      </c>
      <c r="E4" s="10">
        <f>IF(DAY(JulDom1)=1,JulDom1-4,JulDom1+3)</f>
        <v>44377</v>
      </c>
      <c r="F4" s="10">
        <f>IF(DAY(JulDom1)=1,JulDom1-3,JulDom1+4)</f>
        <v>44378</v>
      </c>
      <c r="G4" s="10">
        <f>IF(DAY(JulDom1)=1,JulDom1-2,JulDom1+5)</f>
        <v>44379</v>
      </c>
      <c r="H4" s="10">
        <f>IF(DAY(JulDom1)=1,JulDom1-1,JulDom1+6)</f>
        <v>44380</v>
      </c>
      <c r="I4" s="10">
        <f>IF(DAY(JulDom1)=1,JulDom1,JulDom1+7)</f>
        <v>44381</v>
      </c>
      <c r="J4" s="5"/>
      <c r="K4" s="54" t="s">
        <v>11</v>
      </c>
      <c r="L4" s="16"/>
      <c r="M4" s="50"/>
      <c r="N4" s="51"/>
    </row>
    <row r="5" spans="1:14" ht="18" customHeight="1">
      <c r="A5" s="4"/>
      <c r="B5" s="84"/>
      <c r="C5" s="10">
        <f>IF(DAY(JulDom1)=1,JulDom1+1,JulDom1+8)</f>
        <v>44382</v>
      </c>
      <c r="D5" s="10">
        <f>IF(DAY(JulDom1)=1,JulDom1+2,JulDom1+9)</f>
        <v>44383</v>
      </c>
      <c r="E5" s="10">
        <f>IF(DAY(JulDom1)=1,JulDom1+3,JulDom1+10)</f>
        <v>44384</v>
      </c>
      <c r="F5" s="10">
        <f>IF(DAY(JulDom1)=1,JulDom1+4,JulDom1+11)</f>
        <v>44385</v>
      </c>
      <c r="G5" s="10">
        <f>IF(DAY(JulDom1)=1,JulDom1+5,JulDom1+12)</f>
        <v>44386</v>
      </c>
      <c r="H5" s="10">
        <f>IF(DAY(JulDom1)=1,JulDom1+6,JulDom1+13)</f>
        <v>44387</v>
      </c>
      <c r="I5" s="10">
        <f>IF(DAY(JulDom1)=1,JulDom1+7,JulDom1+14)</f>
        <v>44388</v>
      </c>
      <c r="J5" s="5"/>
      <c r="K5" s="53"/>
      <c r="L5" s="17"/>
      <c r="M5" s="50"/>
      <c r="N5" s="51"/>
    </row>
    <row r="6" spans="1:14" ht="18" customHeight="1">
      <c r="A6" s="4"/>
      <c r="B6" s="84"/>
      <c r="C6" s="10">
        <f>IF(DAY(JulDom1)=1,JulDom1+8,JulDom1+15)</f>
        <v>44389</v>
      </c>
      <c r="D6" s="10">
        <f>IF(DAY(JulDom1)=1,JulDom1+9,JulDom1+16)</f>
        <v>44390</v>
      </c>
      <c r="E6" s="10">
        <f>IF(DAY(JulDom1)=1,JulDom1+10,JulDom1+17)</f>
        <v>44391</v>
      </c>
      <c r="F6" s="10">
        <f>IF(DAY(JulDom1)=1,JulDom1+11,JulDom1+18)</f>
        <v>44392</v>
      </c>
      <c r="G6" s="10">
        <f>IF(DAY(JulDom1)=1,JulDom1+12,JulDom1+19)</f>
        <v>44393</v>
      </c>
      <c r="H6" s="10">
        <f>IF(DAY(JulDom1)=1,JulDom1+13,JulDom1+20)</f>
        <v>44394</v>
      </c>
      <c r="I6" s="10">
        <f>IF(DAY(JulDom1)=1,JulDom1+14,JulDom1+21)</f>
        <v>44395</v>
      </c>
      <c r="J6" s="5"/>
      <c r="K6" s="53"/>
      <c r="L6" s="17"/>
      <c r="M6" s="50"/>
      <c r="N6" s="51"/>
    </row>
    <row r="7" spans="1:14" ht="57.75" customHeight="1">
      <c r="A7" s="4"/>
      <c r="B7" s="84"/>
      <c r="C7" s="10">
        <f>IF(DAY(JulDom1)=1,JulDom1+15,JulDom1+22)</f>
        <v>44396</v>
      </c>
      <c r="D7" s="10">
        <f>IF(DAY(JulDom1)=1,JulDom1+16,JulDom1+23)</f>
        <v>44397</v>
      </c>
      <c r="E7" s="10">
        <f>IF(DAY(JulDom1)=1,JulDom1+17,JulDom1+24)</f>
        <v>44398</v>
      </c>
      <c r="F7" s="10">
        <f>IF(DAY(JulDom1)=1,JulDom1+18,JulDom1+25)</f>
        <v>44399</v>
      </c>
      <c r="G7" s="10">
        <f>IF(DAY(JulDom1)=1,JulDom1+19,JulDom1+26)</f>
        <v>44400</v>
      </c>
      <c r="H7" s="10">
        <f>IF(DAY(JulDom1)=1,JulDom1+20,JulDom1+27)</f>
        <v>44401</v>
      </c>
      <c r="I7" s="10">
        <f>IF(DAY(JulDom1)=1,JulDom1+21,JulDom1+28)</f>
        <v>44402</v>
      </c>
      <c r="J7" s="5"/>
      <c r="K7" s="11"/>
      <c r="L7" s="17"/>
      <c r="M7" s="101"/>
      <c r="N7" s="102"/>
    </row>
    <row r="8" spans="1:14" ht="18.75" customHeight="1">
      <c r="A8" s="4"/>
      <c r="B8" s="84"/>
      <c r="C8" s="10">
        <f>IF(DAY(JulDom1)=1,JulDom1+22,JulDom1+29)</f>
        <v>44403</v>
      </c>
      <c r="D8" s="10">
        <f>IF(DAY(JulDom1)=1,JulDom1+23,JulDom1+30)</f>
        <v>44404</v>
      </c>
      <c r="E8" s="10">
        <f>IF(DAY(JulDom1)=1,JulDom1+24,JulDom1+31)</f>
        <v>44405</v>
      </c>
      <c r="F8" s="10">
        <f>IF(DAY(JulDom1)=1,JulDom1+25,JulDom1+32)</f>
        <v>44406</v>
      </c>
      <c r="G8" s="10">
        <f>IF(DAY(JulDom1)=1,JulDom1+26,JulDom1+33)</f>
        <v>44407</v>
      </c>
      <c r="H8" s="10">
        <f>IF(DAY(JulDom1)=1,JulDom1+27,JulDom1+34)</f>
        <v>44408</v>
      </c>
      <c r="I8" s="10">
        <f>IF(DAY(JulDom1)=1,JulDom1+28,JulDom1+35)</f>
        <v>44409</v>
      </c>
      <c r="J8" s="5"/>
      <c r="K8" s="11"/>
      <c r="L8" s="17"/>
      <c r="M8" s="42"/>
      <c r="N8" s="43"/>
    </row>
    <row r="9" spans="1:14" ht="18" customHeight="1">
      <c r="A9" s="4"/>
      <c r="B9" s="84"/>
      <c r="C9" s="10">
        <f>IF(DAY(JulDom1)=1,JulDom1+29,JulDom1+36)</f>
        <v>44410</v>
      </c>
      <c r="D9" s="10">
        <f>IF(DAY(JulDom1)=1,JulDom1+30,JulDom1+37)</f>
        <v>44411</v>
      </c>
      <c r="E9" s="10">
        <f>IF(DAY(JulDom1)=1,JulDom1+31,JulDom1+38)</f>
        <v>44412</v>
      </c>
      <c r="F9" s="10">
        <f>IF(DAY(JulDom1)=1,JulDom1+32,JulDom1+39)</f>
        <v>44413</v>
      </c>
      <c r="G9" s="10">
        <f>IF(DAY(JulDom1)=1,JulDom1+33,JulDom1+40)</f>
        <v>44414</v>
      </c>
      <c r="H9" s="10">
        <f>IF(DAY(JulDom1)=1,JulDom1+34,JulDom1+41)</f>
        <v>44415</v>
      </c>
      <c r="I9" s="10">
        <f>IF(DAY(JulDom1)=1,JulDom1+35,JulDom1+42)</f>
        <v>44416</v>
      </c>
      <c r="J9" s="5"/>
      <c r="K9" s="12"/>
      <c r="L9" s="18"/>
      <c r="M9" s="46"/>
      <c r="N9" s="47"/>
    </row>
    <row r="10" spans="1:14" ht="18" customHeight="1">
      <c r="A10" s="4"/>
      <c r="B10" s="85"/>
      <c r="C10" s="23"/>
      <c r="D10" s="23"/>
      <c r="E10" s="23"/>
      <c r="F10" s="23"/>
      <c r="G10" s="23"/>
      <c r="H10" s="23"/>
      <c r="I10" s="23"/>
      <c r="J10" s="24"/>
      <c r="K10" s="52" t="s">
        <v>12</v>
      </c>
      <c r="L10" s="16"/>
      <c r="M10" s="50"/>
      <c r="N10" s="51"/>
    </row>
    <row r="11" spans="1:14" ht="18" customHeight="1">
      <c r="A11" s="4"/>
      <c r="B11" s="86" t="s">
        <v>10</v>
      </c>
      <c r="C11" s="87"/>
      <c r="D11" s="87"/>
      <c r="E11" s="87"/>
      <c r="F11" s="87"/>
      <c r="G11" s="87"/>
      <c r="H11" s="87"/>
      <c r="I11" s="87"/>
      <c r="J11" s="88"/>
      <c r="K11" s="53"/>
      <c r="L11" s="17"/>
      <c r="M11" s="50"/>
      <c r="N11" s="51"/>
    </row>
    <row r="12" spans="1:14" ht="18" customHeight="1">
      <c r="A12" s="4"/>
      <c r="B12" s="86"/>
      <c r="C12" s="87"/>
      <c r="D12" s="87"/>
      <c r="E12" s="87"/>
      <c r="F12" s="87"/>
      <c r="G12" s="87"/>
      <c r="H12" s="87"/>
      <c r="I12" s="87"/>
      <c r="J12" s="88"/>
      <c r="K12" s="53"/>
      <c r="L12" s="17"/>
      <c r="M12" s="50"/>
      <c r="N12" s="51"/>
    </row>
    <row r="13" spans="1:14" ht="18" customHeight="1">
      <c r="B13" s="3" t="s">
        <v>11</v>
      </c>
      <c r="C13" s="74" t="s">
        <v>12</v>
      </c>
      <c r="D13" s="76"/>
      <c r="E13" s="74" t="s">
        <v>13</v>
      </c>
      <c r="F13" s="76"/>
      <c r="G13" s="74" t="s">
        <v>14</v>
      </c>
      <c r="H13" s="76"/>
      <c r="I13" s="74" t="s">
        <v>15</v>
      </c>
      <c r="J13" s="75"/>
      <c r="K13" s="11"/>
      <c r="L13" s="17"/>
      <c r="M13" s="50"/>
      <c r="N13" s="51"/>
    </row>
    <row r="14" spans="1:14" ht="18" customHeight="1">
      <c r="B14" s="8"/>
      <c r="C14" s="59"/>
      <c r="D14" s="60"/>
      <c r="E14" s="59"/>
      <c r="F14" s="60"/>
      <c r="G14" s="59"/>
      <c r="H14" s="60"/>
      <c r="I14" s="59"/>
      <c r="J14" s="73"/>
      <c r="K14" s="11"/>
      <c r="L14" s="17"/>
      <c r="M14" s="50"/>
      <c r="N14" s="51"/>
    </row>
    <row r="15" spans="1:14" ht="18" customHeight="1">
      <c r="B15" s="6"/>
      <c r="C15" s="61"/>
      <c r="D15" s="62"/>
      <c r="E15" s="61"/>
      <c r="F15" s="62"/>
      <c r="G15" s="61"/>
      <c r="H15" s="62"/>
      <c r="I15" s="77"/>
      <c r="J15" s="78"/>
      <c r="K15" s="13"/>
      <c r="L15" s="19"/>
      <c r="M15" s="46"/>
      <c r="N15" s="47"/>
    </row>
    <row r="16" spans="1:14" ht="18" customHeight="1">
      <c r="B16" s="8"/>
      <c r="C16" s="59"/>
      <c r="D16" s="60"/>
      <c r="E16" s="59"/>
      <c r="F16" s="60"/>
      <c r="G16" s="59"/>
      <c r="H16" s="60"/>
      <c r="I16" s="91"/>
      <c r="J16" s="92"/>
      <c r="K16" s="48" t="s">
        <v>13</v>
      </c>
      <c r="L16" s="16"/>
      <c r="M16" s="50"/>
      <c r="N16" s="51"/>
    </row>
    <row r="17" spans="2:14" ht="18" customHeight="1">
      <c r="B17" s="6"/>
      <c r="C17" s="61"/>
      <c r="D17" s="62"/>
      <c r="E17" s="61"/>
      <c r="F17" s="62"/>
      <c r="G17" s="61"/>
      <c r="H17" s="62"/>
      <c r="I17" s="77"/>
      <c r="J17" s="78"/>
      <c r="K17" s="49"/>
      <c r="L17" s="17"/>
      <c r="M17" s="50"/>
      <c r="N17" s="51"/>
    </row>
    <row r="18" spans="2:14" ht="18" customHeight="1">
      <c r="B18" s="9"/>
      <c r="C18" s="79"/>
      <c r="D18" s="80"/>
      <c r="E18" s="79"/>
      <c r="F18" s="80"/>
      <c r="G18" s="79"/>
      <c r="H18" s="80"/>
      <c r="I18" s="79"/>
      <c r="J18" s="81"/>
      <c r="K18" s="49"/>
      <c r="L18" s="17"/>
      <c r="M18" s="50"/>
      <c r="N18" s="51"/>
    </row>
    <row r="19" spans="2:14" ht="18" customHeight="1">
      <c r="B19" s="6"/>
      <c r="C19" s="61"/>
      <c r="D19" s="62"/>
      <c r="E19" s="61"/>
      <c r="F19" s="62"/>
      <c r="G19" s="61"/>
      <c r="H19" s="62"/>
      <c r="I19" s="77"/>
      <c r="J19" s="78"/>
      <c r="K19" s="11"/>
      <c r="L19" s="17"/>
      <c r="M19" s="50"/>
      <c r="N19" s="51"/>
    </row>
    <row r="20" spans="2:14" ht="18" customHeight="1">
      <c r="B20" s="8"/>
      <c r="C20" s="59"/>
      <c r="D20" s="60"/>
      <c r="E20" s="59"/>
      <c r="F20" s="60"/>
      <c r="G20" s="59"/>
      <c r="H20" s="60"/>
      <c r="I20" s="59"/>
      <c r="J20" s="73"/>
      <c r="K20" s="11"/>
      <c r="L20" s="17"/>
      <c r="M20" s="42"/>
      <c r="N20" s="43"/>
    </row>
    <row r="21" spans="2:14" ht="18" customHeight="1">
      <c r="B21" s="6"/>
      <c r="C21" s="61"/>
      <c r="D21" s="62"/>
      <c r="E21" s="61"/>
      <c r="F21" s="62"/>
      <c r="G21" s="61"/>
      <c r="H21" s="62"/>
      <c r="I21" s="89"/>
      <c r="J21" s="90"/>
      <c r="K21" s="13"/>
      <c r="L21" s="19"/>
      <c r="M21" s="46"/>
      <c r="N21" s="47"/>
    </row>
    <row r="22" spans="2:14" ht="18" customHeight="1">
      <c r="B22" s="8"/>
      <c r="C22" s="59"/>
      <c r="D22" s="60"/>
      <c r="E22" s="59"/>
      <c r="F22" s="60"/>
      <c r="G22" s="59"/>
      <c r="H22" s="60"/>
      <c r="I22" s="59"/>
      <c r="J22" s="73"/>
      <c r="K22" s="48" t="s">
        <v>14</v>
      </c>
      <c r="L22" s="16"/>
      <c r="M22" s="50"/>
      <c r="N22" s="51"/>
    </row>
    <row r="23" spans="2:14" ht="18" customHeight="1">
      <c r="B23" s="6"/>
      <c r="C23" s="61"/>
      <c r="D23" s="62"/>
      <c r="E23" s="61"/>
      <c r="F23" s="62"/>
      <c r="G23" s="61"/>
      <c r="H23" s="62"/>
      <c r="I23" s="77"/>
      <c r="J23" s="78"/>
      <c r="K23" s="49"/>
      <c r="L23" s="17"/>
      <c r="M23" s="50"/>
      <c r="N23" s="51"/>
    </row>
    <row r="24" spans="2:14" ht="18" customHeight="1">
      <c r="B24" s="8"/>
      <c r="C24" s="59"/>
      <c r="D24" s="60"/>
      <c r="E24" s="59"/>
      <c r="F24" s="60"/>
      <c r="G24" s="59"/>
      <c r="H24" s="60"/>
      <c r="I24" s="59"/>
      <c r="J24" s="73"/>
      <c r="K24" s="49"/>
      <c r="L24" s="17"/>
      <c r="M24" s="50"/>
      <c r="N24" s="51"/>
    </row>
    <row r="25" spans="2:14" ht="18" customHeight="1">
      <c r="B25" s="6"/>
      <c r="C25" s="61"/>
      <c r="D25" s="62"/>
      <c r="E25" s="61"/>
      <c r="F25" s="62"/>
      <c r="G25" s="61"/>
      <c r="H25" s="62"/>
      <c r="I25" s="77"/>
      <c r="J25" s="78"/>
      <c r="K25" s="49"/>
      <c r="L25" s="17"/>
      <c r="M25" s="50"/>
      <c r="N25" s="51"/>
    </row>
    <row r="26" spans="2:14" ht="18" customHeight="1">
      <c r="B26" s="8"/>
      <c r="C26" s="59"/>
      <c r="D26" s="60"/>
      <c r="E26" s="59"/>
      <c r="F26" s="60"/>
      <c r="G26" s="59"/>
      <c r="H26" s="60"/>
      <c r="I26" s="59"/>
      <c r="J26" s="73"/>
      <c r="K26" s="11"/>
      <c r="L26" s="17"/>
      <c r="M26" s="50"/>
      <c r="N26" s="51"/>
    </row>
    <row r="27" spans="2:14" ht="18" customHeight="1">
      <c r="B27" s="6"/>
      <c r="C27" s="61"/>
      <c r="D27" s="62"/>
      <c r="E27" s="61"/>
      <c r="F27" s="62"/>
      <c r="G27" s="61"/>
      <c r="H27" s="62"/>
      <c r="I27" s="77"/>
      <c r="J27" s="78"/>
      <c r="K27" s="13"/>
      <c r="L27" s="19"/>
      <c r="M27" s="46"/>
      <c r="N27" s="47"/>
    </row>
    <row r="28" spans="2:14" ht="18" customHeight="1">
      <c r="B28" s="8"/>
      <c r="C28" s="59"/>
      <c r="D28" s="60"/>
      <c r="E28" s="59"/>
      <c r="F28" s="60"/>
      <c r="G28" s="59"/>
      <c r="H28" s="60"/>
      <c r="I28" s="59"/>
      <c r="J28" s="73"/>
      <c r="K28" s="52" t="s">
        <v>15</v>
      </c>
      <c r="L28" s="16"/>
      <c r="M28" s="50"/>
      <c r="N28" s="51"/>
    </row>
    <row r="29" spans="2:14" ht="18" customHeight="1">
      <c r="B29" s="6"/>
      <c r="C29" s="61"/>
      <c r="D29" s="62"/>
      <c r="E29" s="61"/>
      <c r="F29" s="62"/>
      <c r="G29" s="61"/>
      <c r="H29" s="62"/>
      <c r="I29" s="61"/>
      <c r="J29" s="82"/>
      <c r="K29" s="53"/>
      <c r="L29" s="17"/>
      <c r="M29" s="50"/>
      <c r="N29" s="51"/>
    </row>
    <row r="30" spans="2:14" ht="18" customHeight="1">
      <c r="B30" s="114"/>
      <c r="C30" s="115"/>
      <c r="D30" s="115"/>
      <c r="E30" s="115"/>
      <c r="F30" s="115"/>
      <c r="G30" s="115"/>
      <c r="H30" s="115"/>
      <c r="I30" s="115"/>
      <c r="J30" s="116"/>
      <c r="K30" s="53"/>
      <c r="L30" s="17"/>
      <c r="M30" s="50"/>
      <c r="N30" s="51"/>
    </row>
    <row r="31" spans="2:14" ht="18" customHeight="1">
      <c r="B31" s="117"/>
      <c r="C31" s="118"/>
      <c r="D31" s="118"/>
      <c r="E31" s="118"/>
      <c r="F31" s="118"/>
      <c r="G31" s="118"/>
      <c r="H31" s="118"/>
      <c r="I31" s="118"/>
      <c r="J31" s="119"/>
      <c r="K31" s="14"/>
      <c r="L31" s="17"/>
      <c r="M31" s="50"/>
      <c r="N31" s="51"/>
    </row>
    <row r="32" spans="2:14" ht="33" customHeight="1">
      <c r="B32" s="117"/>
      <c r="C32" s="118"/>
      <c r="D32" s="118"/>
      <c r="E32" s="118"/>
      <c r="F32" s="118"/>
      <c r="G32" s="118"/>
      <c r="H32" s="118"/>
      <c r="I32" s="118"/>
      <c r="J32" s="119"/>
      <c r="K32" s="14"/>
      <c r="L32" s="17"/>
      <c r="M32" s="101"/>
      <c r="N32" s="102"/>
    </row>
    <row r="33" spans="2:14" ht="18" customHeight="1">
      <c r="B33" s="7"/>
      <c r="C33" s="110"/>
      <c r="D33" s="111"/>
      <c r="E33" s="110"/>
      <c r="F33" s="111"/>
      <c r="G33" s="110"/>
      <c r="H33" s="111"/>
      <c r="I33" s="112"/>
      <c r="J33" s="113"/>
      <c r="K33" s="15"/>
      <c r="L33" s="20"/>
      <c r="M33" s="44"/>
      <c r="N33" s="45"/>
    </row>
  </sheetData>
  <mergeCells count="111">
    <mergeCell ref="I29:J29"/>
    <mergeCell ref="M27:N27"/>
    <mergeCell ref="M31:N31"/>
    <mergeCell ref="M32:N32"/>
    <mergeCell ref="B30:J32"/>
    <mergeCell ref="M29:N29"/>
    <mergeCell ref="M30:N30"/>
    <mergeCell ref="M28:N28"/>
    <mergeCell ref="C29:D29"/>
    <mergeCell ref="E29:F29"/>
    <mergeCell ref="G29:H29"/>
    <mergeCell ref="M25:N25"/>
    <mergeCell ref="C26:D26"/>
    <mergeCell ref="E26:F26"/>
    <mergeCell ref="G26:H26"/>
    <mergeCell ref="I26:J26"/>
    <mergeCell ref="K28:K30"/>
    <mergeCell ref="C27:D27"/>
    <mergeCell ref="E27:F27"/>
    <mergeCell ref="G27:H27"/>
    <mergeCell ref="C33:D33"/>
    <mergeCell ref="E33:F33"/>
    <mergeCell ref="G33:H33"/>
    <mergeCell ref="I33:J33"/>
    <mergeCell ref="M33:N33"/>
    <mergeCell ref="G25:H25"/>
    <mergeCell ref="C28:D28"/>
    <mergeCell ref="E28:F28"/>
    <mergeCell ref="G28:H28"/>
    <mergeCell ref="I28:J28"/>
    <mergeCell ref="I27:J27"/>
    <mergeCell ref="I20:J20"/>
    <mergeCell ref="M26:N26"/>
    <mergeCell ref="K22:K25"/>
    <mergeCell ref="C24:D24"/>
    <mergeCell ref="E24:F24"/>
    <mergeCell ref="G24:H24"/>
    <mergeCell ref="I24:J24"/>
    <mergeCell ref="M24:N24"/>
    <mergeCell ref="C25:D25"/>
    <mergeCell ref="E25:F25"/>
    <mergeCell ref="C20:D20"/>
    <mergeCell ref="M20:N20"/>
    <mergeCell ref="I25:J25"/>
    <mergeCell ref="C23:D23"/>
    <mergeCell ref="E23:F23"/>
    <mergeCell ref="G23:H23"/>
    <mergeCell ref="I23:J23"/>
    <mergeCell ref="M23:N23"/>
    <mergeCell ref="E20:F20"/>
    <mergeCell ref="G20:H20"/>
    <mergeCell ref="M22:N22"/>
    <mergeCell ref="C22:D22"/>
    <mergeCell ref="E22:F22"/>
    <mergeCell ref="G22:H22"/>
    <mergeCell ref="I22:J22"/>
    <mergeCell ref="M21:N21"/>
    <mergeCell ref="C21:D21"/>
    <mergeCell ref="E21:F21"/>
    <mergeCell ref="G21:H21"/>
    <mergeCell ref="K16:K18"/>
    <mergeCell ref="I17:J17"/>
    <mergeCell ref="I21:J21"/>
    <mergeCell ref="M19:N19"/>
    <mergeCell ref="C18:D18"/>
    <mergeCell ref="E18:F18"/>
    <mergeCell ref="G18:H18"/>
    <mergeCell ref="I18:J18"/>
    <mergeCell ref="M18:N18"/>
    <mergeCell ref="C19:D19"/>
    <mergeCell ref="G15:H15"/>
    <mergeCell ref="I15:J15"/>
    <mergeCell ref="I19:J19"/>
    <mergeCell ref="C16:D16"/>
    <mergeCell ref="E16:F16"/>
    <mergeCell ref="G16:H16"/>
    <mergeCell ref="I16:J16"/>
    <mergeCell ref="E19:F19"/>
    <mergeCell ref="G19:H19"/>
    <mergeCell ref="M15:N15"/>
    <mergeCell ref="M6:N6"/>
    <mergeCell ref="M7:N7"/>
    <mergeCell ref="M8:N8"/>
    <mergeCell ref="M9:N9"/>
    <mergeCell ref="K10:K12"/>
    <mergeCell ref="M4:N4"/>
    <mergeCell ref="M10:N10"/>
    <mergeCell ref="B11:J12"/>
    <mergeCell ref="M5:N5"/>
    <mergeCell ref="B2:B10"/>
    <mergeCell ref="M11:N11"/>
    <mergeCell ref="G13:H13"/>
    <mergeCell ref="I13:J13"/>
    <mergeCell ref="M13:N13"/>
    <mergeCell ref="C15:D15"/>
    <mergeCell ref="E15:F15"/>
    <mergeCell ref="K2:M3"/>
    <mergeCell ref="K4:K6"/>
    <mergeCell ref="M12:N12"/>
    <mergeCell ref="C13:D13"/>
    <mergeCell ref="E13:F13"/>
    <mergeCell ref="C14:D14"/>
    <mergeCell ref="E14:F14"/>
    <mergeCell ref="G14:H14"/>
    <mergeCell ref="I14:J14"/>
    <mergeCell ref="M14:N14"/>
    <mergeCell ref="M17:N17"/>
    <mergeCell ref="M16:N16"/>
    <mergeCell ref="C17:D17"/>
    <mergeCell ref="E17:F17"/>
    <mergeCell ref="G17:H17"/>
  </mergeCells>
  <conditionalFormatting sqref="C4:H4">
    <cfRule type="expression" dxfId="33" priority="4" stopIfTrue="1">
      <formula>DAY(C4)&gt;8</formula>
    </cfRule>
  </conditionalFormatting>
  <conditionalFormatting sqref="C8:I10">
    <cfRule type="expression" dxfId="32" priority="3" stopIfTrue="1">
      <formula>AND(DAY(C8)&gt;=1,DAY(C8)&lt;=15)</formula>
    </cfRule>
  </conditionalFormatting>
  <conditionalFormatting sqref="C4:I9">
    <cfRule type="expression" dxfId="31" priority="5">
      <formula>VLOOKUP(DAY(C4),DíasDeTareas,1,FALSE)=DAY(C4)</formula>
    </cfRule>
  </conditionalFormatting>
  <conditionalFormatting sqref="B14:J29 B33:J33">
    <cfRule type="expression" dxfId="30" priority="2">
      <formula>B14&lt;&gt;""</formula>
    </cfRule>
  </conditionalFormatting>
  <conditionalFormatting sqref="B30">
    <cfRule type="expression" dxfId="29" priority="1">
      <formula>B30&lt;&gt;""</formula>
    </cfRule>
  </conditionalFormatting>
  <printOptions horizontalCentered="1"/>
  <pageMargins left="0.5" right="0.5" top="0.5" bottom="0.5" header="0.3" footer="0.3"/>
  <pageSetup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O33"/>
  <sheetViews>
    <sheetView showGridLines="0" view="pageBreakPreview" topLeftCell="A16" zoomScaleNormal="100" zoomScaleSheetLayoutView="100" zoomScalePageLayoutView="84" workbookViewId="0">
      <selection activeCell="I26" sqref="I26:J26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9" width="6.7109375" style="1" customWidth="1"/>
    <col min="10" max="10" width="8.28515625" style="1" customWidth="1"/>
    <col min="11" max="11" width="7.28515625" style="1" customWidth="1"/>
    <col min="12" max="12" width="3.85546875" customWidth="1"/>
    <col min="13" max="13" width="51.42578125" style="1" customWidth="1"/>
    <col min="14" max="14" width="18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>
      <c r="A1" s="2"/>
      <c r="B1" s="2"/>
      <c r="C1" s="2"/>
      <c r="D1" s="2"/>
      <c r="E1" s="2"/>
      <c r="F1" s="2"/>
      <c r="G1" s="2"/>
    </row>
    <row r="2" spans="1:14" ht="18" customHeight="1">
      <c r="A2" s="4"/>
      <c r="B2" s="83" t="s">
        <v>19</v>
      </c>
      <c r="C2" s="21"/>
      <c r="D2" s="21"/>
      <c r="E2" s="21"/>
      <c r="F2" s="21"/>
      <c r="G2" s="21"/>
      <c r="H2" s="21"/>
      <c r="I2" s="21"/>
      <c r="J2" s="22"/>
      <c r="K2" s="67" t="s">
        <v>2</v>
      </c>
      <c r="L2" s="68">
        <v>2013</v>
      </c>
      <c r="M2" s="68"/>
      <c r="N2" s="25"/>
    </row>
    <row r="3" spans="1:14" ht="21" customHeight="1">
      <c r="A3" s="4"/>
      <c r="B3" s="84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69"/>
      <c r="L3" s="70"/>
      <c r="M3" s="70"/>
      <c r="N3" s="26"/>
    </row>
    <row r="4" spans="1:14" ht="18" customHeight="1">
      <c r="A4" s="4"/>
      <c r="B4" s="84"/>
      <c r="C4" s="10">
        <f>IF(DAY(AgoDom1)=1,AgoDom1-6,AgoDom1+1)</f>
        <v>44403</v>
      </c>
      <c r="D4" s="10">
        <f>IF(DAY(AgoDom1)=1,AgoDom1-5,AgoDom1+2)</f>
        <v>44404</v>
      </c>
      <c r="E4" s="10">
        <f>IF(DAY(AgoDom1)=1,AgoDom1-4,AgoDom1+3)</f>
        <v>44405</v>
      </c>
      <c r="F4" s="10">
        <f>IF(DAY(AgoDom1)=1,AgoDom1-3,AgoDom1+4)</f>
        <v>44406</v>
      </c>
      <c r="G4" s="10">
        <f>IF(DAY(AgoDom1)=1,AgoDom1-2,AgoDom1+5)</f>
        <v>44407</v>
      </c>
      <c r="H4" s="10">
        <f>IF(DAY(AgoDom1)=1,AgoDom1-1,AgoDom1+6)</f>
        <v>44408</v>
      </c>
      <c r="I4" s="10">
        <f>IF(DAY(AgoDom1)=1,AgoDom1,AgoDom1+7)</f>
        <v>44409</v>
      </c>
      <c r="J4" s="5"/>
      <c r="K4" s="54" t="s">
        <v>11</v>
      </c>
      <c r="L4" s="16"/>
      <c r="M4" s="55"/>
      <c r="N4" s="56"/>
    </row>
    <row r="5" spans="1:14" ht="18" customHeight="1">
      <c r="A5" s="4"/>
      <c r="B5" s="84"/>
      <c r="C5" s="10">
        <f>IF(DAY(AgoDom1)=1,AgoDom1+1,AgoDom1+8)</f>
        <v>44410</v>
      </c>
      <c r="D5" s="10">
        <f>IF(DAY(AgoDom1)=1,AgoDom1+2,AgoDom1+9)</f>
        <v>44411</v>
      </c>
      <c r="E5" s="10">
        <f>IF(DAY(AgoDom1)=1,AgoDom1+3,AgoDom1+10)</f>
        <v>44412</v>
      </c>
      <c r="F5" s="10">
        <f>IF(DAY(AgoDom1)=1,AgoDom1+4,AgoDom1+11)</f>
        <v>44413</v>
      </c>
      <c r="G5" s="10">
        <f>IF(DAY(AgoDom1)=1,AgoDom1+5,AgoDom1+12)</f>
        <v>44414</v>
      </c>
      <c r="H5" s="10">
        <f>IF(DAY(AgoDom1)=1,AgoDom1+6,AgoDom1+13)</f>
        <v>44415</v>
      </c>
      <c r="I5" s="10">
        <f>IF(DAY(AgoDom1)=1,AgoDom1+7,AgoDom1+14)</f>
        <v>44416</v>
      </c>
      <c r="J5" s="5"/>
      <c r="K5" s="53"/>
      <c r="L5" s="122"/>
      <c r="M5" s="124"/>
      <c r="N5" s="125"/>
    </row>
    <row r="6" spans="1:14" ht="18" customHeight="1">
      <c r="A6" s="4"/>
      <c r="B6" s="84"/>
      <c r="C6" s="29">
        <f>IF(DAY(AgoDom1)=1,AgoDom1+8,AgoDom1+15)</f>
        <v>44417</v>
      </c>
      <c r="D6" s="10">
        <f>IF(DAY(AgoDom1)=1,AgoDom1+9,AgoDom1+16)</f>
        <v>44418</v>
      </c>
      <c r="E6" s="10">
        <f>IF(DAY(AgoDom1)=1,AgoDom1+10,AgoDom1+17)</f>
        <v>44419</v>
      </c>
      <c r="F6" s="10">
        <f>IF(DAY(AgoDom1)=1,AgoDom1+11,AgoDom1+18)</f>
        <v>44420</v>
      </c>
      <c r="G6" s="10">
        <f>IF(DAY(AgoDom1)=1,AgoDom1+12,AgoDom1+19)</f>
        <v>44421</v>
      </c>
      <c r="H6" s="10">
        <f>IF(DAY(AgoDom1)=1,AgoDom1+13,AgoDom1+20)</f>
        <v>44422</v>
      </c>
      <c r="I6" s="10">
        <f>IF(DAY(AgoDom1)=1,AgoDom1+14,AgoDom1+21)</f>
        <v>44423</v>
      </c>
      <c r="J6" s="5"/>
      <c r="K6" s="53"/>
      <c r="L6" s="123"/>
      <c r="M6" s="126"/>
      <c r="N6" s="127"/>
    </row>
    <row r="7" spans="1:14" ht="18" customHeight="1">
      <c r="A7" s="4"/>
      <c r="B7" s="84"/>
      <c r="C7" s="10">
        <f>IF(DAY(AgoDom1)=1,AgoDom1+15,AgoDom1+22)</f>
        <v>44424</v>
      </c>
      <c r="D7" s="10">
        <f>IF(DAY(AgoDom1)=1,AgoDom1+16,AgoDom1+23)</f>
        <v>44425</v>
      </c>
      <c r="E7" s="10">
        <f>IF(DAY(AgoDom1)=1,AgoDom1+17,AgoDom1+24)</f>
        <v>44426</v>
      </c>
      <c r="F7" s="10">
        <f>IF(DAY(AgoDom1)=1,AgoDom1+18,AgoDom1+25)</f>
        <v>44427</v>
      </c>
      <c r="G7" s="10">
        <f>IF(DAY(AgoDom1)=1,AgoDom1+19,AgoDom1+26)</f>
        <v>44428</v>
      </c>
      <c r="H7" s="10">
        <f>IF(DAY(AgoDom1)=1,AgoDom1+20,AgoDom1+27)</f>
        <v>44429</v>
      </c>
      <c r="I7" s="10">
        <f>IF(DAY(AgoDom1)=1,AgoDom1+21,AgoDom1+28)</f>
        <v>44430</v>
      </c>
      <c r="J7" s="5"/>
      <c r="K7" s="11"/>
      <c r="L7" s="17"/>
      <c r="M7" s="101"/>
      <c r="N7" s="102"/>
    </row>
    <row r="8" spans="1:14" ht="18.75" customHeight="1">
      <c r="A8" s="4"/>
      <c r="B8" s="84"/>
      <c r="C8" s="10">
        <f>IF(DAY(AgoDom1)=1,AgoDom1+22,AgoDom1+29)</f>
        <v>44431</v>
      </c>
      <c r="D8" s="31">
        <f>IF(DAY(AgoDom1)=1,AgoDom1+23,AgoDom1+30)</f>
        <v>44432</v>
      </c>
      <c r="E8" s="30">
        <f>IF(DAY(AgoDom1)=1,AgoDom1+24,AgoDom1+31)</f>
        <v>44433</v>
      </c>
      <c r="F8" s="10">
        <f>IF(DAY(AgoDom1)=1,AgoDom1+25,AgoDom1+32)</f>
        <v>44434</v>
      </c>
      <c r="G8" s="10">
        <f>IF(DAY(AgoDom1)=1,AgoDom1+26,AgoDom1+33)</f>
        <v>44435</v>
      </c>
      <c r="H8" s="10">
        <f>IF(DAY(AgoDom1)=1,AgoDom1+27,AgoDom1+34)</f>
        <v>44436</v>
      </c>
      <c r="I8" s="10">
        <f>IF(DAY(AgoDom1)=1,AgoDom1+28,AgoDom1+35)</f>
        <v>44437</v>
      </c>
      <c r="J8" s="5"/>
      <c r="K8" s="11"/>
      <c r="L8" s="17"/>
      <c r="M8" s="101"/>
      <c r="N8" s="102"/>
    </row>
    <row r="9" spans="1:14" ht="18" customHeight="1">
      <c r="A9" s="4"/>
      <c r="B9" s="84"/>
      <c r="C9" s="10">
        <f>IF(DAY(AgoDom1)=1,AgoDom1+29,AgoDom1+36)</f>
        <v>44438</v>
      </c>
      <c r="D9" s="10">
        <f>IF(DAY(AgoDom1)=1,AgoDom1+30,AgoDom1+37)</f>
        <v>44439</v>
      </c>
      <c r="E9" s="10">
        <f>IF(DAY(AgoDom1)=1,AgoDom1+31,AgoDom1+38)</f>
        <v>44440</v>
      </c>
      <c r="F9" s="10">
        <f>IF(DAY(AgoDom1)=1,AgoDom1+32,AgoDom1+39)</f>
        <v>44441</v>
      </c>
      <c r="G9" s="10">
        <f>IF(DAY(AgoDom1)=1,AgoDom1+33,AgoDom1+40)</f>
        <v>44442</v>
      </c>
      <c r="H9" s="10">
        <f>IF(DAY(AgoDom1)=1,AgoDom1+34,AgoDom1+41)</f>
        <v>44443</v>
      </c>
      <c r="I9" s="10">
        <f>IF(DAY(AgoDom1)=1,AgoDom1+35,AgoDom1+42)</f>
        <v>44444</v>
      </c>
      <c r="J9" s="5"/>
      <c r="K9" s="12"/>
      <c r="L9" s="18"/>
      <c r="M9" s="46"/>
      <c r="N9" s="47"/>
    </row>
    <row r="10" spans="1:14" ht="18" customHeight="1">
      <c r="A10" s="4"/>
      <c r="B10" s="85"/>
      <c r="C10" s="23"/>
      <c r="D10" s="23"/>
      <c r="E10" s="23"/>
      <c r="F10" s="23"/>
      <c r="G10" s="23"/>
      <c r="H10" s="23"/>
      <c r="I10" s="23"/>
      <c r="J10" s="24"/>
      <c r="K10" s="52" t="s">
        <v>12</v>
      </c>
      <c r="L10" s="16"/>
      <c r="M10" s="50"/>
      <c r="N10" s="51"/>
    </row>
    <row r="11" spans="1:14" ht="18" customHeight="1">
      <c r="A11" s="4"/>
      <c r="B11" s="86" t="s">
        <v>10</v>
      </c>
      <c r="C11" s="87"/>
      <c r="D11" s="87"/>
      <c r="E11" s="87"/>
      <c r="F11" s="87"/>
      <c r="G11" s="87"/>
      <c r="H11" s="87"/>
      <c r="I11" s="87"/>
      <c r="J11" s="88"/>
      <c r="K11" s="53"/>
      <c r="L11" s="17"/>
      <c r="M11" s="101"/>
      <c r="N11" s="102"/>
    </row>
    <row r="12" spans="1:14" ht="18" customHeight="1">
      <c r="A12" s="4"/>
      <c r="B12" s="86"/>
      <c r="C12" s="87"/>
      <c r="D12" s="87"/>
      <c r="E12" s="87"/>
      <c r="F12" s="87"/>
      <c r="G12" s="87"/>
      <c r="H12" s="87"/>
      <c r="I12" s="87"/>
      <c r="J12" s="88"/>
      <c r="K12" s="53"/>
      <c r="L12" s="17"/>
      <c r="M12" s="42"/>
      <c r="N12" s="43"/>
    </row>
    <row r="13" spans="1:14" ht="18" customHeight="1">
      <c r="B13" s="3" t="s">
        <v>11</v>
      </c>
      <c r="C13" s="74" t="s">
        <v>12</v>
      </c>
      <c r="D13" s="76"/>
      <c r="E13" s="74" t="s">
        <v>13</v>
      </c>
      <c r="F13" s="76"/>
      <c r="G13" s="74" t="s">
        <v>14</v>
      </c>
      <c r="H13" s="76"/>
      <c r="I13" s="74" t="s">
        <v>15</v>
      </c>
      <c r="J13" s="75"/>
      <c r="K13" s="11"/>
      <c r="L13" s="17"/>
      <c r="M13" s="120"/>
      <c r="N13" s="121"/>
    </row>
    <row r="14" spans="1:14" ht="18" customHeight="1">
      <c r="B14" s="8"/>
      <c r="C14" s="59"/>
      <c r="D14" s="60"/>
      <c r="E14" s="59"/>
      <c r="F14" s="60"/>
      <c r="G14" s="59"/>
      <c r="H14" s="60"/>
      <c r="I14" s="59"/>
      <c r="J14" s="73"/>
      <c r="K14" s="11"/>
      <c r="L14" s="17"/>
      <c r="M14" s="42"/>
      <c r="N14" s="43"/>
    </row>
    <row r="15" spans="1:14" ht="18" customHeight="1">
      <c r="B15" s="6"/>
      <c r="C15" s="61"/>
      <c r="D15" s="62"/>
      <c r="E15" s="61"/>
      <c r="F15" s="62"/>
      <c r="G15" s="61"/>
      <c r="H15" s="62"/>
      <c r="I15" s="77"/>
      <c r="J15" s="78"/>
      <c r="K15" s="13"/>
      <c r="L15" s="19"/>
      <c r="M15" s="46"/>
      <c r="N15" s="47"/>
    </row>
    <row r="16" spans="1:14" ht="18" customHeight="1">
      <c r="B16" s="8"/>
      <c r="C16" s="59"/>
      <c r="D16" s="60"/>
      <c r="E16" s="59"/>
      <c r="F16" s="60"/>
      <c r="G16" s="59"/>
      <c r="H16" s="60"/>
      <c r="I16" s="91"/>
      <c r="J16" s="92"/>
      <c r="K16" s="48" t="s">
        <v>13</v>
      </c>
      <c r="L16" s="16"/>
      <c r="M16" s="50"/>
      <c r="N16" s="51"/>
    </row>
    <row r="17" spans="2:14" ht="18" customHeight="1">
      <c r="B17" s="6"/>
      <c r="C17" s="61"/>
      <c r="D17" s="62"/>
      <c r="E17" s="61"/>
      <c r="F17" s="62"/>
      <c r="G17" s="61"/>
      <c r="H17" s="62"/>
      <c r="I17" s="77"/>
      <c r="J17" s="78"/>
      <c r="K17" s="49"/>
      <c r="L17" s="17"/>
      <c r="M17" s="42"/>
      <c r="N17" s="43"/>
    </row>
    <row r="18" spans="2:14" ht="18" customHeight="1">
      <c r="B18" s="9"/>
      <c r="C18" s="79"/>
      <c r="D18" s="80"/>
      <c r="E18" s="79"/>
      <c r="F18" s="80"/>
      <c r="G18" s="79"/>
      <c r="H18" s="80"/>
      <c r="I18" s="79"/>
      <c r="J18" s="81"/>
      <c r="K18" s="49"/>
      <c r="L18" s="17"/>
      <c r="M18" s="42"/>
      <c r="N18" s="43"/>
    </row>
    <row r="19" spans="2:14" ht="18" customHeight="1">
      <c r="B19" s="6"/>
      <c r="C19" s="61"/>
      <c r="D19" s="62"/>
      <c r="E19" s="61"/>
      <c r="F19" s="62"/>
      <c r="G19" s="61"/>
      <c r="H19" s="62"/>
      <c r="I19" s="77"/>
      <c r="J19" s="78"/>
      <c r="K19" s="11"/>
      <c r="L19" s="17"/>
      <c r="M19" s="120"/>
      <c r="N19" s="121"/>
    </row>
    <row r="20" spans="2:14" ht="18" customHeight="1">
      <c r="B20" s="8"/>
      <c r="C20" s="59"/>
      <c r="D20" s="60"/>
      <c r="E20" s="59"/>
      <c r="F20" s="60"/>
      <c r="G20" s="59"/>
      <c r="H20" s="60"/>
      <c r="I20" s="59"/>
      <c r="J20" s="73"/>
      <c r="K20" s="11"/>
      <c r="L20" s="17"/>
      <c r="M20" s="42"/>
      <c r="N20" s="43"/>
    </row>
    <row r="21" spans="2:14" ht="18" customHeight="1">
      <c r="B21" s="6"/>
      <c r="C21" s="61"/>
      <c r="D21" s="62"/>
      <c r="E21" s="61"/>
      <c r="F21" s="62"/>
      <c r="G21" s="61"/>
      <c r="H21" s="62"/>
      <c r="I21" s="89"/>
      <c r="J21" s="90"/>
      <c r="K21" s="13"/>
      <c r="L21" s="19"/>
      <c r="M21" s="46"/>
      <c r="N21" s="47"/>
    </row>
    <row r="22" spans="2:14" ht="18" customHeight="1">
      <c r="B22" s="8"/>
      <c r="C22" s="59"/>
      <c r="D22" s="60"/>
      <c r="E22" s="59"/>
      <c r="F22" s="60"/>
      <c r="G22" s="59"/>
      <c r="H22" s="60"/>
      <c r="I22" s="59"/>
      <c r="J22" s="73"/>
      <c r="K22" s="48" t="s">
        <v>14</v>
      </c>
      <c r="L22" s="16"/>
      <c r="M22" s="50"/>
      <c r="N22" s="51"/>
    </row>
    <row r="23" spans="2:14" ht="18" customHeight="1">
      <c r="B23" s="6"/>
      <c r="C23" s="61"/>
      <c r="D23" s="62"/>
      <c r="E23" s="61"/>
      <c r="F23" s="62"/>
      <c r="G23" s="61"/>
      <c r="H23" s="62"/>
      <c r="I23" s="77"/>
      <c r="J23" s="78"/>
      <c r="K23" s="49"/>
      <c r="L23" s="17"/>
      <c r="M23" s="42"/>
      <c r="N23" s="43"/>
    </row>
    <row r="24" spans="2:14" ht="18" customHeight="1">
      <c r="B24" s="8"/>
      <c r="C24" s="59"/>
      <c r="D24" s="60"/>
      <c r="E24" s="59"/>
      <c r="F24" s="60"/>
      <c r="G24" s="59"/>
      <c r="H24" s="60"/>
      <c r="I24" s="59"/>
      <c r="J24" s="73"/>
      <c r="K24" s="49"/>
      <c r="L24" s="17"/>
      <c r="M24" s="101"/>
      <c r="N24" s="102"/>
    </row>
    <row r="25" spans="2:14" ht="18" customHeight="1">
      <c r="B25" s="6"/>
      <c r="C25" s="61"/>
      <c r="D25" s="62"/>
      <c r="E25" s="61"/>
      <c r="F25" s="62"/>
      <c r="G25" s="61"/>
      <c r="H25" s="62"/>
      <c r="I25" s="77"/>
      <c r="J25" s="78"/>
      <c r="K25" s="49"/>
      <c r="L25" s="17"/>
      <c r="M25" s="101"/>
      <c r="N25" s="102"/>
    </row>
    <row r="26" spans="2:14" ht="18" customHeight="1">
      <c r="B26" s="8"/>
      <c r="C26" s="59"/>
      <c r="D26" s="60"/>
      <c r="E26" s="59"/>
      <c r="F26" s="60"/>
      <c r="G26" s="59"/>
      <c r="H26" s="60"/>
      <c r="I26" s="59"/>
      <c r="J26" s="73"/>
      <c r="K26" s="11"/>
      <c r="L26" s="17"/>
      <c r="M26" s="101"/>
      <c r="N26" s="102"/>
    </row>
    <row r="27" spans="2:14" ht="18" customHeight="1">
      <c r="B27" s="6"/>
      <c r="C27" s="61"/>
      <c r="D27" s="62"/>
      <c r="E27" s="61"/>
      <c r="F27" s="62"/>
      <c r="G27" s="61"/>
      <c r="H27" s="62"/>
      <c r="I27" s="77"/>
      <c r="J27" s="78"/>
      <c r="K27" s="13"/>
      <c r="L27" s="19"/>
      <c r="M27" s="46"/>
      <c r="N27" s="47"/>
    </row>
    <row r="28" spans="2:14" ht="18" customHeight="1">
      <c r="B28" s="8"/>
      <c r="C28" s="59"/>
      <c r="D28" s="60"/>
      <c r="E28" s="59"/>
      <c r="F28" s="60"/>
      <c r="G28" s="59"/>
      <c r="H28" s="60"/>
      <c r="I28" s="59"/>
      <c r="J28" s="73"/>
      <c r="K28" s="52" t="s">
        <v>15</v>
      </c>
      <c r="L28" s="16"/>
      <c r="M28" s="50"/>
      <c r="N28" s="51"/>
    </row>
    <row r="29" spans="2:14" ht="18" customHeight="1">
      <c r="B29" s="6"/>
      <c r="C29" s="61"/>
      <c r="D29" s="62"/>
      <c r="E29" s="61"/>
      <c r="F29" s="62"/>
      <c r="G29" s="61"/>
      <c r="H29" s="62"/>
      <c r="I29" s="61"/>
      <c r="J29" s="82"/>
      <c r="K29" s="53"/>
      <c r="L29" s="17"/>
      <c r="M29" s="42"/>
      <c r="N29" s="43"/>
    </row>
    <row r="30" spans="2:14" ht="18" customHeight="1">
      <c r="B30" s="93" t="s">
        <v>26</v>
      </c>
      <c r="C30" s="94"/>
      <c r="D30" s="94"/>
      <c r="E30" s="94"/>
      <c r="F30" s="94"/>
      <c r="G30" s="94"/>
      <c r="H30" s="94"/>
      <c r="I30" s="94"/>
      <c r="J30" s="95"/>
      <c r="K30" s="53"/>
      <c r="L30" s="17"/>
      <c r="M30" s="101"/>
      <c r="N30" s="102"/>
    </row>
    <row r="31" spans="2:14" ht="18" customHeight="1">
      <c r="B31" s="96"/>
      <c r="C31" s="97"/>
      <c r="D31" s="97"/>
      <c r="E31" s="97"/>
      <c r="F31" s="97"/>
      <c r="G31" s="97"/>
      <c r="H31" s="97"/>
      <c r="I31" s="97"/>
      <c r="J31" s="98"/>
      <c r="K31" s="14"/>
      <c r="L31" s="17"/>
      <c r="M31" s="42"/>
      <c r="N31" s="43"/>
    </row>
    <row r="32" spans="2:14" ht="18" customHeight="1">
      <c r="B32" s="96"/>
      <c r="C32" s="97"/>
      <c r="D32" s="97"/>
      <c r="E32" s="97"/>
      <c r="F32" s="97"/>
      <c r="G32" s="97"/>
      <c r="H32" s="97"/>
      <c r="I32" s="97"/>
      <c r="J32" s="98"/>
      <c r="K32" s="14"/>
      <c r="L32" s="17"/>
      <c r="M32" s="42"/>
      <c r="N32" s="43"/>
    </row>
    <row r="33" spans="2:14" ht="18" customHeight="1">
      <c r="B33" s="7"/>
      <c r="C33" s="110"/>
      <c r="D33" s="111"/>
      <c r="E33" s="110"/>
      <c r="F33" s="111"/>
      <c r="G33" s="110"/>
      <c r="H33" s="111"/>
      <c r="I33" s="112"/>
      <c r="J33" s="113"/>
      <c r="K33" s="15"/>
      <c r="L33" s="20"/>
      <c r="M33" s="44"/>
      <c r="N33" s="45"/>
    </row>
  </sheetData>
  <mergeCells count="111">
    <mergeCell ref="I29:J29"/>
    <mergeCell ref="M27:N27"/>
    <mergeCell ref="M31:N31"/>
    <mergeCell ref="M32:N32"/>
    <mergeCell ref="B30:J32"/>
    <mergeCell ref="M29:N29"/>
    <mergeCell ref="M30:N30"/>
    <mergeCell ref="M28:N28"/>
    <mergeCell ref="C29:D29"/>
    <mergeCell ref="E29:F29"/>
    <mergeCell ref="G29:H29"/>
    <mergeCell ref="M25:N25"/>
    <mergeCell ref="C26:D26"/>
    <mergeCell ref="E26:F26"/>
    <mergeCell ref="G26:H26"/>
    <mergeCell ref="I26:J26"/>
    <mergeCell ref="K28:K30"/>
    <mergeCell ref="C27:D27"/>
    <mergeCell ref="E27:F27"/>
    <mergeCell ref="G27:H27"/>
    <mergeCell ref="C33:D33"/>
    <mergeCell ref="E33:F33"/>
    <mergeCell ref="G33:H33"/>
    <mergeCell ref="I33:J33"/>
    <mergeCell ref="M33:N33"/>
    <mergeCell ref="G25:H25"/>
    <mergeCell ref="C28:D28"/>
    <mergeCell ref="E28:F28"/>
    <mergeCell ref="G28:H28"/>
    <mergeCell ref="I28:J28"/>
    <mergeCell ref="I27:J27"/>
    <mergeCell ref="I20:J20"/>
    <mergeCell ref="M26:N26"/>
    <mergeCell ref="K22:K25"/>
    <mergeCell ref="C24:D24"/>
    <mergeCell ref="E24:F24"/>
    <mergeCell ref="G24:H24"/>
    <mergeCell ref="I24:J24"/>
    <mergeCell ref="M24:N24"/>
    <mergeCell ref="C25:D25"/>
    <mergeCell ref="E25:F25"/>
    <mergeCell ref="C20:D20"/>
    <mergeCell ref="M20:N20"/>
    <mergeCell ref="I25:J25"/>
    <mergeCell ref="C23:D23"/>
    <mergeCell ref="E23:F23"/>
    <mergeCell ref="G23:H23"/>
    <mergeCell ref="I23:J23"/>
    <mergeCell ref="M23:N23"/>
    <mergeCell ref="E20:F20"/>
    <mergeCell ref="G20:H20"/>
    <mergeCell ref="M22:N22"/>
    <mergeCell ref="C22:D22"/>
    <mergeCell ref="E22:F22"/>
    <mergeCell ref="G22:H22"/>
    <mergeCell ref="I22:J22"/>
    <mergeCell ref="M21:N21"/>
    <mergeCell ref="C21:D21"/>
    <mergeCell ref="E21:F21"/>
    <mergeCell ref="G21:H21"/>
    <mergeCell ref="K16:K18"/>
    <mergeCell ref="I21:J21"/>
    <mergeCell ref="M19:N19"/>
    <mergeCell ref="C18:D18"/>
    <mergeCell ref="E18:F18"/>
    <mergeCell ref="G18:H18"/>
    <mergeCell ref="I18:J18"/>
    <mergeCell ref="M18:N18"/>
    <mergeCell ref="C19:D19"/>
    <mergeCell ref="E19:F19"/>
    <mergeCell ref="I19:J19"/>
    <mergeCell ref="C16:D16"/>
    <mergeCell ref="E16:F16"/>
    <mergeCell ref="G16:H16"/>
    <mergeCell ref="I16:J16"/>
    <mergeCell ref="G19:H19"/>
    <mergeCell ref="C15:D15"/>
    <mergeCell ref="E15:F15"/>
    <mergeCell ref="G15:H15"/>
    <mergeCell ref="I15:J15"/>
    <mergeCell ref="I17:J17"/>
    <mergeCell ref="B11:J12"/>
    <mergeCell ref="I13:J13"/>
    <mergeCell ref="I14:J14"/>
    <mergeCell ref="M15:N15"/>
    <mergeCell ref="M12:N12"/>
    <mergeCell ref="C14:D14"/>
    <mergeCell ref="E14:F14"/>
    <mergeCell ref="G14:H14"/>
    <mergeCell ref="M17:N17"/>
    <mergeCell ref="M16:N16"/>
    <mergeCell ref="C17:D17"/>
    <mergeCell ref="E17:F17"/>
    <mergeCell ref="G17:H17"/>
    <mergeCell ref="M10:N10"/>
    <mergeCell ref="G13:H13"/>
    <mergeCell ref="B2:B10"/>
    <mergeCell ref="C13:D13"/>
    <mergeCell ref="E13:F13"/>
    <mergeCell ref="M5:N6"/>
    <mergeCell ref="M11:N11"/>
    <mergeCell ref="M14:N14"/>
    <mergeCell ref="M13:N13"/>
    <mergeCell ref="K2:M3"/>
    <mergeCell ref="K4:K6"/>
    <mergeCell ref="M4:N4"/>
    <mergeCell ref="M7:N7"/>
    <mergeCell ref="M8:N8"/>
    <mergeCell ref="M9:N9"/>
    <mergeCell ref="K10:K12"/>
    <mergeCell ref="L5:L6"/>
  </mergeCells>
  <conditionalFormatting sqref="C4:H4">
    <cfRule type="expression" dxfId="28" priority="4" stopIfTrue="1">
      <formula>DAY(C4)&gt;8</formula>
    </cfRule>
  </conditionalFormatting>
  <conditionalFormatting sqref="C8:I10">
    <cfRule type="expression" dxfId="27" priority="3" stopIfTrue="1">
      <formula>AND(DAY(C8)&gt;=1,DAY(C8)&lt;=15)</formula>
    </cfRule>
  </conditionalFormatting>
  <conditionalFormatting sqref="C4:I9">
    <cfRule type="expression" dxfId="26" priority="5">
      <formula>VLOOKUP(DAY(C4),DíasDeTareas,1,FALSE)=DAY(C4)</formula>
    </cfRule>
  </conditionalFormatting>
  <conditionalFormatting sqref="B14:J29 B33:J33">
    <cfRule type="expression" dxfId="25" priority="2">
      <formula>B14&lt;&gt;""</formula>
    </cfRule>
  </conditionalFormatting>
  <conditionalFormatting sqref="B30">
    <cfRule type="expression" dxfId="24" priority="1">
      <formula>B30&lt;&gt;""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O33"/>
  <sheetViews>
    <sheetView showGridLines="0" zoomScale="80" zoomScaleNormal="80" zoomScalePageLayoutView="84" workbookViewId="0">
      <selection activeCell="P25" sqref="P25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83" t="s">
        <v>18</v>
      </c>
      <c r="C2" s="21"/>
      <c r="D2" s="21"/>
      <c r="E2" s="21"/>
      <c r="F2" s="21"/>
      <c r="G2" s="21"/>
      <c r="H2" s="21"/>
      <c r="I2" s="21"/>
      <c r="J2" s="22"/>
      <c r="K2" s="67" t="s">
        <v>2</v>
      </c>
      <c r="L2" s="68">
        <v>2013</v>
      </c>
      <c r="M2" s="68"/>
      <c r="N2" s="25"/>
    </row>
    <row r="3" spans="1:14" ht="21" customHeight="1">
      <c r="A3" s="4"/>
      <c r="B3" s="84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69"/>
      <c r="L3" s="70"/>
      <c r="M3" s="70"/>
      <c r="N3" s="26"/>
    </row>
    <row r="4" spans="1:14" ht="18" customHeight="1">
      <c r="A4" s="4"/>
      <c r="B4" s="84"/>
      <c r="C4" s="10">
        <f>IF(DAY(SepDom1)=1,SepDom1-6,SepDom1+1)</f>
        <v>44438</v>
      </c>
      <c r="D4" s="10">
        <f>IF(DAY(SepDom1)=1,SepDom1-5,SepDom1+2)</f>
        <v>44439</v>
      </c>
      <c r="E4" s="10">
        <f>IF(DAY(SepDom1)=1,SepDom1-4,SepDom1+3)</f>
        <v>44440</v>
      </c>
      <c r="F4" s="10">
        <f>IF(DAY(SepDom1)=1,SepDom1-3,SepDom1+4)</f>
        <v>44441</v>
      </c>
      <c r="G4" s="10">
        <f>IF(DAY(SepDom1)=1,SepDom1-2,SepDom1+5)</f>
        <v>44442</v>
      </c>
      <c r="H4" s="10">
        <f>IF(DAY(SepDom1)=1,SepDom1-1,SepDom1+6)</f>
        <v>44443</v>
      </c>
      <c r="I4" s="10">
        <f>IF(DAY(SepDom1)=1,SepDom1,SepDom1+7)</f>
        <v>44444</v>
      </c>
      <c r="J4" s="5"/>
      <c r="K4" s="54" t="s">
        <v>11</v>
      </c>
      <c r="L4" s="16"/>
      <c r="M4" s="120"/>
      <c r="N4" s="121"/>
    </row>
    <row r="5" spans="1:14" ht="18" customHeight="1">
      <c r="A5" s="4"/>
      <c r="B5" s="84"/>
      <c r="C5" s="10">
        <f>IF(DAY(SepDom1)=1,SepDom1+1,SepDom1+8)</f>
        <v>44445</v>
      </c>
      <c r="D5" s="10">
        <f>IF(DAY(SepDom1)=1,SepDom1+2,SepDom1+9)</f>
        <v>44446</v>
      </c>
      <c r="E5" s="10">
        <f>IF(DAY(SepDom1)=1,SepDom1+3,SepDom1+10)</f>
        <v>44447</v>
      </c>
      <c r="F5" s="10">
        <f>IF(DAY(SepDom1)=1,SepDom1+4,SepDom1+11)</f>
        <v>44448</v>
      </c>
      <c r="G5" s="10">
        <f>IF(DAY(SepDom1)=1,SepDom1+5,SepDom1+12)</f>
        <v>44449</v>
      </c>
      <c r="H5" s="10">
        <f>IF(DAY(SepDom1)=1,SepDom1+6,SepDom1+13)</f>
        <v>44450</v>
      </c>
      <c r="I5" s="10">
        <f>IF(DAY(SepDom1)=1,SepDom1+7,SepDom1+14)</f>
        <v>44451</v>
      </c>
      <c r="J5" s="5"/>
      <c r="K5" s="53"/>
      <c r="L5" s="17"/>
      <c r="M5" s="120"/>
      <c r="N5" s="121"/>
    </row>
    <row r="6" spans="1:14" ht="18" customHeight="1">
      <c r="A6" s="4"/>
      <c r="B6" s="84"/>
      <c r="C6" s="10">
        <f>IF(DAY(SepDom1)=1,SepDom1+8,SepDom1+15)</f>
        <v>44452</v>
      </c>
      <c r="D6" s="10">
        <f>IF(DAY(SepDom1)=1,SepDom1+9,SepDom1+16)</f>
        <v>44453</v>
      </c>
      <c r="E6" s="10">
        <f>IF(DAY(SepDom1)=1,SepDom1+10,SepDom1+17)</f>
        <v>44454</v>
      </c>
      <c r="F6" s="10">
        <f>IF(DAY(SepDom1)=1,SepDom1+11,SepDom1+18)</f>
        <v>44455</v>
      </c>
      <c r="G6" s="10">
        <f>IF(DAY(SepDom1)=1,SepDom1+12,SepDom1+19)</f>
        <v>44456</v>
      </c>
      <c r="H6" s="10">
        <f>IF(DAY(SepDom1)=1,SepDom1+13,SepDom1+20)</f>
        <v>44457</v>
      </c>
      <c r="I6" s="10">
        <f>IF(DAY(SepDom1)=1,SepDom1+14,SepDom1+21)</f>
        <v>44458</v>
      </c>
      <c r="J6" s="5"/>
      <c r="K6" s="53"/>
      <c r="L6" s="17"/>
      <c r="M6" s="120"/>
      <c r="N6" s="121"/>
    </row>
    <row r="7" spans="1:14" ht="18" customHeight="1">
      <c r="A7" s="4"/>
      <c r="B7" s="84"/>
      <c r="C7" s="10">
        <f>IF(DAY(SepDom1)=1,SepDom1+15,SepDom1+22)</f>
        <v>44459</v>
      </c>
      <c r="D7" s="10">
        <f>IF(DAY(SepDom1)=1,SepDom1+16,SepDom1+23)</f>
        <v>44460</v>
      </c>
      <c r="E7" s="10">
        <f>IF(DAY(SepDom1)=1,SepDom1+17,SepDom1+24)</f>
        <v>44461</v>
      </c>
      <c r="F7" s="10">
        <f>IF(DAY(SepDom1)=1,SepDom1+18,SepDom1+25)</f>
        <v>44462</v>
      </c>
      <c r="G7" s="10">
        <f>IF(DAY(SepDom1)=1,SepDom1+19,SepDom1+26)</f>
        <v>44463</v>
      </c>
      <c r="H7" s="10">
        <f>IF(DAY(SepDom1)=1,SepDom1+20,SepDom1+27)</f>
        <v>44464</v>
      </c>
      <c r="I7" s="10">
        <f>IF(DAY(SepDom1)=1,SepDom1+21,SepDom1+28)</f>
        <v>44465</v>
      </c>
      <c r="J7" s="5"/>
      <c r="K7" s="11"/>
      <c r="L7" s="17"/>
      <c r="M7" s="120"/>
      <c r="N7" s="121"/>
    </row>
    <row r="8" spans="1:14" ht="18.75" customHeight="1">
      <c r="A8" s="4"/>
      <c r="B8" s="84"/>
      <c r="C8" s="10">
        <f>IF(DAY(SepDom1)=1,SepDom1+22,SepDom1+29)</f>
        <v>44466</v>
      </c>
      <c r="D8" s="10">
        <f>IF(DAY(SepDom1)=1,SepDom1+23,SepDom1+30)</f>
        <v>44467</v>
      </c>
      <c r="E8" s="10">
        <f>IF(DAY(SepDom1)=1,SepDom1+24,SepDom1+31)</f>
        <v>44468</v>
      </c>
      <c r="F8" s="10">
        <f>IF(DAY(SepDom1)=1,SepDom1+25,SepDom1+32)</f>
        <v>44469</v>
      </c>
      <c r="G8" s="10">
        <f>IF(DAY(SepDom1)=1,SepDom1+26,SepDom1+33)</f>
        <v>44470</v>
      </c>
      <c r="H8" s="10">
        <f>IF(DAY(SepDom1)=1,SepDom1+27,SepDom1+34)</f>
        <v>44471</v>
      </c>
      <c r="I8" s="10">
        <f>IF(DAY(SepDom1)=1,SepDom1+28,SepDom1+35)</f>
        <v>44472</v>
      </c>
      <c r="J8" s="5"/>
      <c r="K8" s="11"/>
      <c r="L8" s="17"/>
      <c r="M8" s="42"/>
      <c r="N8" s="43"/>
    </row>
    <row r="9" spans="1:14" ht="18" customHeight="1">
      <c r="A9" s="4"/>
      <c r="B9" s="84"/>
      <c r="C9" s="10">
        <f>IF(DAY(SepDom1)=1,SepDom1+29,SepDom1+36)</f>
        <v>44473</v>
      </c>
      <c r="D9" s="10">
        <f>IF(DAY(SepDom1)=1,SepDom1+30,SepDom1+37)</f>
        <v>44474</v>
      </c>
      <c r="E9" s="10">
        <f>IF(DAY(SepDom1)=1,SepDom1+31,SepDom1+38)</f>
        <v>44475</v>
      </c>
      <c r="F9" s="10">
        <f>IF(DAY(SepDom1)=1,SepDom1+32,SepDom1+39)</f>
        <v>44476</v>
      </c>
      <c r="G9" s="10">
        <f>IF(DAY(SepDom1)=1,SepDom1+33,SepDom1+40)</f>
        <v>44477</v>
      </c>
      <c r="H9" s="10">
        <f>IF(DAY(SepDom1)=1,SepDom1+34,SepDom1+41)</f>
        <v>44478</v>
      </c>
      <c r="I9" s="10">
        <f>IF(DAY(SepDom1)=1,SepDom1+35,SepDom1+42)</f>
        <v>44479</v>
      </c>
      <c r="J9" s="5"/>
      <c r="K9" s="12"/>
      <c r="L9" s="18"/>
      <c r="M9" s="46"/>
      <c r="N9" s="47"/>
    </row>
    <row r="10" spans="1:14" ht="18" customHeight="1">
      <c r="A10" s="4"/>
      <c r="B10" s="85"/>
      <c r="C10" s="23"/>
      <c r="D10" s="23"/>
      <c r="E10" s="23"/>
      <c r="F10" s="23"/>
      <c r="G10" s="23"/>
      <c r="H10" s="23"/>
      <c r="I10" s="23"/>
      <c r="J10" s="24"/>
      <c r="K10" s="52" t="s">
        <v>12</v>
      </c>
      <c r="L10" s="16"/>
      <c r="M10" s="120"/>
      <c r="N10" s="121"/>
    </row>
    <row r="11" spans="1:14" ht="18" customHeight="1">
      <c r="A11" s="4"/>
      <c r="B11" s="86" t="s">
        <v>10</v>
      </c>
      <c r="C11" s="87"/>
      <c r="D11" s="87"/>
      <c r="E11" s="87"/>
      <c r="F11" s="87"/>
      <c r="G11" s="87"/>
      <c r="H11" s="87"/>
      <c r="I11" s="87"/>
      <c r="J11" s="88"/>
      <c r="K11" s="53"/>
      <c r="L11" s="17"/>
      <c r="M11" s="120"/>
      <c r="N11" s="121"/>
    </row>
    <row r="12" spans="1:14" ht="18" customHeight="1">
      <c r="A12" s="4"/>
      <c r="B12" s="86"/>
      <c r="C12" s="87"/>
      <c r="D12" s="87"/>
      <c r="E12" s="87"/>
      <c r="F12" s="87"/>
      <c r="G12" s="87"/>
      <c r="H12" s="87"/>
      <c r="I12" s="87"/>
      <c r="J12" s="88"/>
      <c r="K12" s="53"/>
      <c r="L12" s="17"/>
      <c r="M12" s="120"/>
      <c r="N12" s="121"/>
    </row>
    <row r="13" spans="1:14" ht="18" customHeight="1">
      <c r="B13" s="3" t="s">
        <v>11</v>
      </c>
      <c r="C13" s="74" t="s">
        <v>12</v>
      </c>
      <c r="D13" s="76"/>
      <c r="E13" s="74" t="s">
        <v>13</v>
      </c>
      <c r="F13" s="76"/>
      <c r="G13" s="74" t="s">
        <v>14</v>
      </c>
      <c r="H13" s="76"/>
      <c r="I13" s="74" t="s">
        <v>15</v>
      </c>
      <c r="J13" s="75"/>
      <c r="K13" s="11"/>
      <c r="L13" s="17"/>
      <c r="M13" s="120"/>
      <c r="N13" s="121"/>
    </row>
    <row r="14" spans="1:14" ht="18" customHeight="1">
      <c r="B14" s="8"/>
      <c r="C14" s="59"/>
      <c r="D14" s="60"/>
      <c r="E14" s="59"/>
      <c r="F14" s="60"/>
      <c r="G14" s="59"/>
      <c r="H14" s="60"/>
      <c r="I14" s="59"/>
      <c r="J14" s="73"/>
      <c r="K14" s="11"/>
      <c r="L14" s="17"/>
      <c r="M14" s="42"/>
      <c r="N14" s="43"/>
    </row>
    <row r="15" spans="1:14" ht="18" customHeight="1">
      <c r="B15" s="6"/>
      <c r="C15" s="61"/>
      <c r="D15" s="62"/>
      <c r="E15" s="61"/>
      <c r="F15" s="62"/>
      <c r="G15" s="61"/>
      <c r="H15" s="62"/>
      <c r="I15" s="77"/>
      <c r="J15" s="78"/>
      <c r="K15" s="13"/>
      <c r="L15" s="19"/>
      <c r="M15" s="46"/>
      <c r="N15" s="47"/>
    </row>
    <row r="16" spans="1:14" ht="18" customHeight="1">
      <c r="B16" s="8"/>
      <c r="C16" s="59"/>
      <c r="D16" s="60"/>
      <c r="E16" s="59"/>
      <c r="F16" s="60"/>
      <c r="G16" s="59"/>
      <c r="H16" s="60"/>
      <c r="I16" s="91"/>
      <c r="J16" s="92"/>
      <c r="K16" s="48" t="s">
        <v>13</v>
      </c>
      <c r="L16" s="16"/>
      <c r="M16" s="120"/>
      <c r="N16" s="121"/>
    </row>
    <row r="17" spans="2:14" ht="18" customHeight="1">
      <c r="B17" s="6"/>
      <c r="C17" s="61"/>
      <c r="D17" s="62"/>
      <c r="E17" s="61"/>
      <c r="F17" s="62"/>
      <c r="G17" s="61"/>
      <c r="H17" s="62"/>
      <c r="I17" s="77"/>
      <c r="J17" s="78"/>
      <c r="K17" s="49"/>
      <c r="L17" s="17"/>
      <c r="M17" s="120"/>
      <c r="N17" s="121"/>
    </row>
    <row r="18" spans="2:14" ht="18" customHeight="1">
      <c r="B18" s="9"/>
      <c r="C18" s="79"/>
      <c r="D18" s="80"/>
      <c r="E18" s="79"/>
      <c r="F18" s="80"/>
      <c r="G18" s="79"/>
      <c r="H18" s="80"/>
      <c r="I18" s="79"/>
      <c r="J18" s="81"/>
      <c r="K18" s="49"/>
      <c r="L18" s="17"/>
      <c r="M18" s="120"/>
      <c r="N18" s="121"/>
    </row>
    <row r="19" spans="2:14" ht="18" customHeight="1">
      <c r="B19" s="6"/>
      <c r="C19" s="61"/>
      <c r="D19" s="62"/>
      <c r="E19" s="61"/>
      <c r="F19" s="62"/>
      <c r="G19" s="61"/>
      <c r="H19" s="62"/>
      <c r="I19" s="77"/>
      <c r="J19" s="78"/>
      <c r="K19" s="11"/>
      <c r="L19" s="17"/>
      <c r="M19" s="120"/>
      <c r="N19" s="121"/>
    </row>
    <row r="20" spans="2:14" ht="18" customHeight="1">
      <c r="B20" s="8"/>
      <c r="C20" s="59"/>
      <c r="D20" s="60"/>
      <c r="E20" s="59"/>
      <c r="F20" s="60"/>
      <c r="G20" s="59"/>
      <c r="H20" s="60"/>
      <c r="I20" s="59"/>
      <c r="J20" s="73"/>
      <c r="K20" s="11"/>
      <c r="L20" s="17"/>
      <c r="M20" s="42"/>
      <c r="N20" s="43"/>
    </row>
    <row r="21" spans="2:14" ht="18" customHeight="1">
      <c r="B21" s="6"/>
      <c r="C21" s="61"/>
      <c r="D21" s="62"/>
      <c r="E21" s="61"/>
      <c r="F21" s="62"/>
      <c r="G21" s="61"/>
      <c r="H21" s="62"/>
      <c r="I21" s="89"/>
      <c r="J21" s="90"/>
      <c r="K21" s="13"/>
      <c r="L21" s="19"/>
      <c r="M21" s="46"/>
      <c r="N21" s="47"/>
    </row>
    <row r="22" spans="2:14" ht="18" customHeight="1">
      <c r="B22" s="8"/>
      <c r="C22" s="59"/>
      <c r="D22" s="60"/>
      <c r="E22" s="59"/>
      <c r="F22" s="60"/>
      <c r="G22" s="59"/>
      <c r="H22" s="60"/>
      <c r="I22" s="59"/>
      <c r="J22" s="73"/>
      <c r="K22" s="48" t="s">
        <v>14</v>
      </c>
      <c r="L22" s="16"/>
      <c r="M22" s="50"/>
      <c r="N22" s="51"/>
    </row>
    <row r="23" spans="2:14" ht="18" customHeight="1">
      <c r="B23" s="6"/>
      <c r="C23" s="61"/>
      <c r="D23" s="62"/>
      <c r="E23" s="61"/>
      <c r="F23" s="62"/>
      <c r="G23" s="61"/>
      <c r="H23" s="62"/>
      <c r="I23" s="77"/>
      <c r="J23" s="78"/>
      <c r="K23" s="49"/>
      <c r="L23" s="17"/>
      <c r="M23" s="120"/>
      <c r="N23" s="121"/>
    </row>
    <row r="24" spans="2:14" ht="18" customHeight="1">
      <c r="B24" s="8"/>
      <c r="C24" s="59"/>
      <c r="D24" s="60"/>
      <c r="E24" s="59"/>
      <c r="F24" s="60"/>
      <c r="G24" s="59"/>
      <c r="H24" s="60"/>
      <c r="I24" s="59"/>
      <c r="J24" s="73"/>
      <c r="K24" s="49"/>
      <c r="L24" s="17"/>
      <c r="M24" s="120"/>
      <c r="N24" s="121"/>
    </row>
    <row r="25" spans="2:14" ht="18" customHeight="1">
      <c r="B25" s="6"/>
      <c r="C25" s="61"/>
      <c r="D25" s="62"/>
      <c r="E25" s="61"/>
      <c r="F25" s="62"/>
      <c r="G25" s="61"/>
      <c r="H25" s="62"/>
      <c r="I25" s="77"/>
      <c r="J25" s="78"/>
      <c r="K25" s="49"/>
      <c r="L25" s="17"/>
      <c r="M25" s="120"/>
      <c r="N25" s="121"/>
    </row>
    <row r="26" spans="2:14" ht="18" customHeight="1">
      <c r="B26" s="8"/>
      <c r="C26" s="59"/>
      <c r="D26" s="60"/>
      <c r="E26" s="59"/>
      <c r="F26" s="60"/>
      <c r="G26" s="59"/>
      <c r="H26" s="60"/>
      <c r="I26" s="59"/>
      <c r="J26" s="73"/>
      <c r="K26" s="11"/>
      <c r="L26" s="17"/>
      <c r="M26" s="120"/>
      <c r="N26" s="121"/>
    </row>
    <row r="27" spans="2:14" ht="18" customHeight="1">
      <c r="B27" s="6"/>
      <c r="C27" s="61"/>
      <c r="D27" s="62"/>
      <c r="E27" s="61"/>
      <c r="F27" s="62"/>
      <c r="G27" s="61"/>
      <c r="H27" s="62"/>
      <c r="I27" s="77"/>
      <c r="J27" s="78"/>
      <c r="K27" s="13"/>
      <c r="L27" s="19"/>
      <c r="M27" s="46"/>
      <c r="N27" s="47"/>
    </row>
    <row r="28" spans="2:14" ht="18" customHeight="1">
      <c r="B28" s="8"/>
      <c r="C28" s="59"/>
      <c r="D28" s="60"/>
      <c r="E28" s="59"/>
      <c r="F28" s="60"/>
      <c r="G28" s="59"/>
      <c r="H28" s="60"/>
      <c r="I28" s="59"/>
      <c r="J28" s="73"/>
      <c r="K28" s="52" t="s">
        <v>15</v>
      </c>
      <c r="L28" s="16"/>
      <c r="M28" s="120"/>
      <c r="N28" s="121"/>
    </row>
    <row r="29" spans="2:14" ht="18" customHeight="1">
      <c r="B29" s="6"/>
      <c r="C29" s="61"/>
      <c r="D29" s="62"/>
      <c r="E29" s="61"/>
      <c r="F29" s="62"/>
      <c r="G29" s="61"/>
      <c r="H29" s="62"/>
      <c r="I29" s="61"/>
      <c r="J29" s="82"/>
      <c r="K29" s="53"/>
      <c r="L29" s="17"/>
      <c r="M29" s="120"/>
      <c r="N29" s="121"/>
    </row>
    <row r="30" spans="2:14" ht="18" customHeight="1">
      <c r="B30" s="93" t="s">
        <v>26</v>
      </c>
      <c r="C30" s="94"/>
      <c r="D30" s="94"/>
      <c r="E30" s="94"/>
      <c r="F30" s="94"/>
      <c r="G30" s="94"/>
      <c r="H30" s="94"/>
      <c r="I30" s="94"/>
      <c r="J30" s="95"/>
      <c r="K30" s="53"/>
      <c r="L30" s="17"/>
      <c r="M30" s="120"/>
      <c r="N30" s="121"/>
    </row>
    <row r="31" spans="2:14" ht="18" customHeight="1">
      <c r="B31" s="96"/>
      <c r="C31" s="97"/>
      <c r="D31" s="97"/>
      <c r="E31" s="97"/>
      <c r="F31" s="97"/>
      <c r="G31" s="97"/>
      <c r="H31" s="97"/>
      <c r="I31" s="97"/>
      <c r="J31" s="98"/>
      <c r="K31" s="14"/>
      <c r="L31" s="17"/>
      <c r="M31" s="120"/>
      <c r="N31" s="121"/>
    </row>
    <row r="32" spans="2:14" ht="32.25" customHeight="1">
      <c r="B32" s="96"/>
      <c r="C32" s="97"/>
      <c r="D32" s="97"/>
      <c r="E32" s="97"/>
      <c r="F32" s="97"/>
      <c r="G32" s="97"/>
      <c r="H32" s="97"/>
      <c r="I32" s="97"/>
      <c r="J32" s="98"/>
      <c r="K32" s="14"/>
      <c r="L32" s="17"/>
      <c r="M32" s="42"/>
      <c r="N32" s="43"/>
    </row>
    <row r="33" spans="2:14" ht="18" customHeight="1">
      <c r="B33" s="7"/>
      <c r="C33" s="110"/>
      <c r="D33" s="111"/>
      <c r="E33" s="110"/>
      <c r="F33" s="111"/>
      <c r="G33" s="110"/>
      <c r="H33" s="111"/>
      <c r="I33" s="112"/>
      <c r="J33" s="113"/>
      <c r="K33" s="15"/>
      <c r="L33" s="20"/>
      <c r="M33" s="44"/>
      <c r="N33" s="45"/>
    </row>
  </sheetData>
  <mergeCells count="111">
    <mergeCell ref="I29:J29"/>
    <mergeCell ref="M27:N27"/>
    <mergeCell ref="M31:N31"/>
    <mergeCell ref="M32:N32"/>
    <mergeCell ref="B30:J32"/>
    <mergeCell ref="M29:N29"/>
    <mergeCell ref="M30:N30"/>
    <mergeCell ref="M28:N28"/>
    <mergeCell ref="C29:D29"/>
    <mergeCell ref="E29:F29"/>
    <mergeCell ref="G29:H29"/>
    <mergeCell ref="M25:N25"/>
    <mergeCell ref="C26:D26"/>
    <mergeCell ref="E26:F26"/>
    <mergeCell ref="G26:H26"/>
    <mergeCell ref="I26:J26"/>
    <mergeCell ref="K28:K30"/>
    <mergeCell ref="C27:D27"/>
    <mergeCell ref="E27:F27"/>
    <mergeCell ref="G27:H27"/>
    <mergeCell ref="C33:D33"/>
    <mergeCell ref="E33:F33"/>
    <mergeCell ref="G33:H33"/>
    <mergeCell ref="I33:J33"/>
    <mergeCell ref="M33:N33"/>
    <mergeCell ref="G25:H25"/>
    <mergeCell ref="C28:D28"/>
    <mergeCell ref="E28:F28"/>
    <mergeCell ref="G28:H28"/>
    <mergeCell ref="I28:J28"/>
    <mergeCell ref="I27:J27"/>
    <mergeCell ref="I20:J20"/>
    <mergeCell ref="M26:N26"/>
    <mergeCell ref="K22:K25"/>
    <mergeCell ref="C24:D24"/>
    <mergeCell ref="E24:F24"/>
    <mergeCell ref="G24:H24"/>
    <mergeCell ref="I24:J24"/>
    <mergeCell ref="M24:N24"/>
    <mergeCell ref="C25:D25"/>
    <mergeCell ref="E25:F25"/>
    <mergeCell ref="C20:D20"/>
    <mergeCell ref="M20:N20"/>
    <mergeCell ref="I25:J25"/>
    <mergeCell ref="C23:D23"/>
    <mergeCell ref="E23:F23"/>
    <mergeCell ref="G23:H23"/>
    <mergeCell ref="I23:J23"/>
    <mergeCell ref="M23:N23"/>
    <mergeCell ref="E20:F20"/>
    <mergeCell ref="G20:H20"/>
    <mergeCell ref="M22:N22"/>
    <mergeCell ref="C22:D22"/>
    <mergeCell ref="E22:F22"/>
    <mergeCell ref="G22:H22"/>
    <mergeCell ref="I22:J22"/>
    <mergeCell ref="M21:N21"/>
    <mergeCell ref="C21:D21"/>
    <mergeCell ref="E21:F21"/>
    <mergeCell ref="G21:H21"/>
    <mergeCell ref="K16:K18"/>
    <mergeCell ref="I17:J17"/>
    <mergeCell ref="I21:J21"/>
    <mergeCell ref="M19:N19"/>
    <mergeCell ref="C18:D18"/>
    <mergeCell ref="E18:F18"/>
    <mergeCell ref="G18:H18"/>
    <mergeCell ref="I18:J18"/>
    <mergeCell ref="M18:N18"/>
    <mergeCell ref="C19:D19"/>
    <mergeCell ref="G15:H15"/>
    <mergeCell ref="I15:J15"/>
    <mergeCell ref="I19:J19"/>
    <mergeCell ref="C16:D16"/>
    <mergeCell ref="E16:F16"/>
    <mergeCell ref="G16:H16"/>
    <mergeCell ref="I16:J16"/>
    <mergeCell ref="E19:F19"/>
    <mergeCell ref="G19:H19"/>
    <mergeCell ref="M15:N15"/>
    <mergeCell ref="M6:N6"/>
    <mergeCell ref="M7:N7"/>
    <mergeCell ref="M8:N8"/>
    <mergeCell ref="M9:N9"/>
    <mergeCell ref="K10:K12"/>
    <mergeCell ref="M4:N4"/>
    <mergeCell ref="M10:N10"/>
    <mergeCell ref="B11:J12"/>
    <mergeCell ref="M5:N5"/>
    <mergeCell ref="B2:B10"/>
    <mergeCell ref="M11:N11"/>
    <mergeCell ref="G13:H13"/>
    <mergeCell ref="I13:J13"/>
    <mergeCell ref="M13:N13"/>
    <mergeCell ref="C15:D15"/>
    <mergeCell ref="E15:F15"/>
    <mergeCell ref="K2:M3"/>
    <mergeCell ref="K4:K6"/>
    <mergeCell ref="M12:N12"/>
    <mergeCell ref="C13:D13"/>
    <mergeCell ref="E13:F13"/>
    <mergeCell ref="C14:D14"/>
    <mergeCell ref="E14:F14"/>
    <mergeCell ref="G14:H14"/>
    <mergeCell ref="I14:J14"/>
    <mergeCell ref="M14:N14"/>
    <mergeCell ref="M17:N17"/>
    <mergeCell ref="M16:N16"/>
    <mergeCell ref="C17:D17"/>
    <mergeCell ref="E17:F17"/>
    <mergeCell ref="G17:H17"/>
  </mergeCells>
  <conditionalFormatting sqref="C4:H4">
    <cfRule type="expression" dxfId="23" priority="5" stopIfTrue="1">
      <formula>DAY(C4)&gt;8</formula>
    </cfRule>
  </conditionalFormatting>
  <conditionalFormatting sqref="C8:I10">
    <cfRule type="expression" dxfId="22" priority="4" stopIfTrue="1">
      <formula>AND(DAY(C8)&gt;=1,DAY(C8)&lt;=15)</formula>
    </cfRule>
  </conditionalFormatting>
  <conditionalFormatting sqref="C4:I9">
    <cfRule type="expression" dxfId="21" priority="6">
      <formula>VLOOKUP(DAY(C4),DíasDeTareas,1,FALSE)=DAY(C4)</formula>
    </cfRule>
  </conditionalFormatting>
  <conditionalFormatting sqref="B14:J29 B33:J33">
    <cfRule type="expression" dxfId="20" priority="3">
      <formula>B14&lt;&gt;""</formula>
    </cfRule>
  </conditionalFormatting>
  <conditionalFormatting sqref="B30">
    <cfRule type="expression" dxfId="19" priority="2">
      <formula>B30&lt;&gt;""</formula>
    </cfRule>
  </conditionalFormatting>
  <conditionalFormatting sqref="B30">
    <cfRule type="expression" dxfId="18" priority="1">
      <formula>B30&lt;&gt;""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42A2AB2-C96A-4F1D-A896-B2666E5A28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37</vt:i4>
      </vt:variant>
    </vt:vector>
  </HeadingPairs>
  <TitlesOfParts>
    <vt:vector size="50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Hoja1</vt:lpstr>
      <vt:lpstr>Año_Calendario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  <vt:lpstr>Abril!DíasDeTareas</vt:lpstr>
      <vt:lpstr>Agosto!DíasDeTareas</vt:lpstr>
      <vt:lpstr>Diciembre!DíasDeTareas</vt:lpstr>
      <vt:lpstr>Febrero!DíasDeTareas</vt:lpstr>
      <vt:lpstr>Julio!DíasDeTareas</vt:lpstr>
      <vt:lpstr>Junio!DíasDeTareas</vt:lpstr>
      <vt:lpstr>Marzo!DíasDeTareas</vt:lpstr>
      <vt:lpstr>Mayo!DíasDeTareas</vt:lpstr>
      <vt:lpstr>Noviembre!DíasDeTareas</vt:lpstr>
      <vt:lpstr>Octubre!DíasDeTareas</vt:lpstr>
      <vt:lpstr>Septiembre!DíasDeTareas</vt:lpstr>
      <vt:lpstr>DíasDeTareas</vt:lpstr>
      <vt:lpstr>Abril!TablaFechasImportantes</vt:lpstr>
      <vt:lpstr>Agosto!TablaFechasImportantes</vt:lpstr>
      <vt:lpstr>Diciembre!TablaFechasImportantes</vt:lpstr>
      <vt:lpstr>Febrero!TablaFechasImportantes</vt:lpstr>
      <vt:lpstr>Julio!TablaFechasImportantes</vt:lpstr>
      <vt:lpstr>Junio!TablaFechasImportantes</vt:lpstr>
      <vt:lpstr>Marzo!TablaFechasImportantes</vt:lpstr>
      <vt:lpstr>Mayo!TablaFechasImportantes</vt:lpstr>
      <vt:lpstr>Noviembre!TablaFechasImportantes</vt:lpstr>
      <vt:lpstr>Octubre!TablaFechasImportantes</vt:lpstr>
      <vt:lpstr>Septiembre!TablaFechasImportantes</vt:lpstr>
      <vt:lpstr>TablaFechasImportantes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catastro</cp:lastModifiedBy>
  <cp:lastPrinted>2019-10-10T16:56:23Z</cp:lastPrinted>
  <dcterms:created xsi:type="dcterms:W3CDTF">2015-11-13T18:10:35Z</dcterms:created>
  <dcterms:modified xsi:type="dcterms:W3CDTF">2021-06-04T16:32:31Z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TC025512749991</vt:lpwstr>
  </property>
</Properties>
</file>